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9875" windowHeight="8475" tabRatio="738" activeTab="5"/>
  </bookViews>
  <sheets>
    <sheet name="Einführung" sheetId="1" r:id="rId1"/>
    <sheet name="Bezugssterne usw." sheetId="2" r:id="rId2"/>
    <sheet name="Beobachtungsort 1" sheetId="3" r:id="rId3"/>
    <sheet name="Beobachtungsort 2" sheetId="4" r:id="rId4"/>
    <sheet name="Positionsberechnung" sheetId="5" r:id="rId5"/>
    <sheet name="Parallaxenrechnung" sheetId="6" r:id="rId6"/>
  </sheets>
  <externalReferences>
    <externalReference r:id="rId9"/>
  </externalReferences>
  <definedNames>
    <definedName name="Datum">'Bezugssterne usw.'!$L$6</definedName>
    <definedName name="day">#REF!</definedName>
    <definedName name="deg">#REF!</definedName>
    <definedName name="dRM1">#REF!</definedName>
    <definedName name="dRM2">#REF!</definedName>
    <definedName name="dSM1">#REF!</definedName>
    <definedName name="dSM2">#REF!</definedName>
    <definedName name="exEarth">#REF!</definedName>
    <definedName name="geogrBreite">'Bezugssterne usw.'!$L$25</definedName>
    <definedName name="geogrBreite1">'Bezugssterne usw.'!$G$32</definedName>
    <definedName name="geogrBreite2">'Bezugssterne usw.'!$H$32</definedName>
    <definedName name="geogrLaenge">'Bezugssterne usw.'!$M$24</definedName>
    <definedName name="geogrLaenge1">'Bezugssterne usw.'!$G$33</definedName>
    <definedName name="geogrLaenge2">'Bezugssterne usw.'!$H$33</definedName>
    <definedName name="Grad">'Bezugssterne usw.'!$L$18</definedName>
    <definedName name="lambda1">'[1]data'!$J$36</definedName>
    <definedName name="lambda2">'[1]data'!$K$36</definedName>
    <definedName name="Massstab">'Bezugssterne usw.'!$L$12</definedName>
    <definedName name="month">#REF!</definedName>
    <definedName name="nx">'Bezugssterne usw.'!$L$13</definedName>
    <definedName name="ny">'Bezugssterne usw.'!$L$14</definedName>
    <definedName name="omegaE">'Bezugssterne usw.'!$L$21</definedName>
    <definedName name="omegaM">#REF!</definedName>
    <definedName name="Ort">'Positionsberechnung'!$B$2</definedName>
    <definedName name="Ort1">'Bezugssterne usw.'!$L$8</definedName>
    <definedName name="Ort2">'Bezugssterne usw.'!$L$9</definedName>
    <definedName name="OrtNr">'Positionsberechnung'!$B$1</definedName>
    <definedName name="phi1">'[1]data'!$J$35</definedName>
    <definedName name="phi2">'[1]data'!$K$35</definedName>
    <definedName name="RE">'Bezugssterne usw.'!$L$20</definedName>
    <definedName name="rho">'Parallaxenrechnung'!#REF!</definedName>
    <definedName name="rMond">'Bezugssterne usw.'!$L$22</definedName>
    <definedName name="scale1">#REF!</definedName>
    <definedName name="scale2">#REF!</definedName>
    <definedName name="ST2UT">#REF!</definedName>
    <definedName name="Sternzeit1">'Bezugssterne usw.'!$L$10</definedName>
    <definedName name="Uhrzeit">'Bezugssterne usw.'!$L$7</definedName>
    <definedName name="UT1">'[1]data'!$J$34</definedName>
    <definedName name="UT2">'[1]data'!$K$34</definedName>
    <definedName name="xM">'Bezugssterne usw.'!$L$16</definedName>
    <definedName name="xM1">'[1]data'!$J$41</definedName>
    <definedName name="xM2">'[1]data'!$K$41</definedName>
    <definedName name="xR">#REF!</definedName>
    <definedName name="xR1">'[1]data'!$J$39</definedName>
    <definedName name="xR2">'[1]data'!$K$39</definedName>
    <definedName name="xS">#REF!</definedName>
    <definedName name="xS1">'[1]data'!$J$37</definedName>
    <definedName name="xS2">'[1]data'!$K$37</definedName>
    <definedName name="year">#REF!</definedName>
    <definedName name="yM">'Bezugssterne usw.'!$L$17</definedName>
    <definedName name="yM1">'[1]data'!$J$42</definedName>
    <definedName name="yM2">'[1]data'!$K$42</definedName>
    <definedName name="yR">#REF!</definedName>
    <definedName name="yR1">'[1]data'!$J$40</definedName>
    <definedName name="yR2">'[1]data'!$K$40</definedName>
    <definedName name="yS">#REF!</definedName>
    <definedName name="yS1">'[1]data'!$J$38</definedName>
    <definedName name="yS2">'[1]data'!$K$38</definedName>
    <definedName name="zR">#REF!</definedName>
  </definedNames>
  <calcPr fullCalcOnLoad="1"/>
</workbook>
</file>

<file path=xl/sharedStrings.xml><?xml version="1.0" encoding="utf-8"?>
<sst xmlns="http://schemas.openxmlformats.org/spreadsheetml/2006/main" count="255" uniqueCount="153">
  <si>
    <t>h</t>
  </si>
  <si>
    <t>min</t>
  </si>
  <si>
    <t>s</t>
  </si>
  <si>
    <t>Grad</t>
  </si>
  <si>
    <t/>
  </si>
  <si>
    <t>"</t>
  </si>
  <si>
    <t>Rektaszension</t>
  </si>
  <si>
    <t>Deklination</t>
  </si>
  <si>
    <t>Brennweite</t>
  </si>
  <si>
    <t>Pixelgröße in mm</t>
  </si>
  <si>
    <t>Mond</t>
  </si>
  <si>
    <t>xM</t>
  </si>
  <si>
    <t>yM</t>
  </si>
  <si>
    <t>x</t>
  </si>
  <si>
    <t>y</t>
  </si>
  <si>
    <t>r</t>
  </si>
  <si>
    <t>A</t>
  </si>
  <si>
    <t>A in Grad</t>
  </si>
  <si>
    <t>h in Grad</t>
  </si>
  <si>
    <t>n1</t>
  </si>
  <si>
    <t>n2</t>
  </si>
  <si>
    <t>d1</t>
  </si>
  <si>
    <t>d2</t>
  </si>
  <si>
    <t>w</t>
  </si>
  <si>
    <t>n1*n2</t>
  </si>
  <si>
    <t>Nenner</t>
  </si>
  <si>
    <t>q</t>
  </si>
  <si>
    <t>B</t>
  </si>
  <si>
    <t>C</t>
  </si>
  <si>
    <t>t1</t>
  </si>
  <si>
    <t>t2</t>
  </si>
  <si>
    <t>r1</t>
  </si>
  <si>
    <t>r2</t>
  </si>
  <si>
    <t>Rekt.</t>
  </si>
  <si>
    <t>Dekl.</t>
  </si>
  <si>
    <t>gemessene Mondposition</t>
  </si>
  <si>
    <t>Datum</t>
  </si>
  <si>
    <t>z</t>
  </si>
  <si>
    <t>Referenzposition des Mondes</t>
  </si>
  <si>
    <t>theoretische Mondposition</t>
  </si>
  <si>
    <t>Auf dem Foto gemessene Pixelpositionen</t>
  </si>
  <si>
    <t>abgeleitete Winkel</t>
  </si>
  <si>
    <t>Konstanten</t>
  </si>
  <si>
    <t>Objekt (alphab. Reihenfolge!)</t>
  </si>
  <si>
    <t>Bezugssterne</t>
  </si>
  <si>
    <t>Berechnung der Mondposition als Schnittpunkt der Schnittgerade zweier Ebenen mit der Einheitskugel</t>
  </si>
  <si>
    <t>(Schnittgerade berechnet mit Hilfe von Wikipedia)</t>
  </si>
  <si>
    <t>Normalenvektor Ebene 1</t>
  </si>
  <si>
    <t>Normalenvektor Ebene 2</t>
  </si>
  <si>
    <t>O-Abstand Ebene 1</t>
  </si>
  <si>
    <t>O-Abstand Ebene 2</t>
  </si>
  <si>
    <t>Richtungsvektor der Schnittgerade</t>
  </si>
  <si>
    <t>Achsenabschnitt der Schnittgerade r=q+t*w</t>
  </si>
  <si>
    <t>Berechnung der Schnittpunkte</t>
  </si>
  <si>
    <t>Lösung 1</t>
  </si>
  <si>
    <t>Lösung 2</t>
  </si>
  <si>
    <t>Lösungsvektor 1</t>
  </si>
  <si>
    <t>Lösungsvektor 2</t>
  </si>
  <si>
    <t>Lösungsposition 1 des Mondes</t>
  </si>
  <si>
    <t>Lösungsposition 2 des Mondes</t>
  </si>
  <si>
    <t>Parameter der quadr. Gleichung für t zur</t>
  </si>
  <si>
    <t>geogr. Breite</t>
  </si>
  <si>
    <t>geogr. Länge</t>
  </si>
  <si>
    <t>Anzahl der x-Pixel nx</t>
  </si>
  <si>
    <t>Anzahl der y-Pixel ny</t>
  </si>
  <si>
    <t>Beobachtungsort</t>
  </si>
  <si>
    <t>ungef. Brennweite in mm</t>
  </si>
  <si>
    <t>Kurzanleitung</t>
  </si>
  <si>
    <t>gemessene Winkelabstände in Grad</t>
  </si>
  <si>
    <t>Sternzeit</t>
  </si>
  <si>
    <t>alphaM</t>
  </si>
  <si>
    <t>deltaM</t>
  </si>
  <si>
    <t>r2-r1</t>
  </si>
  <si>
    <t>e1-e2</t>
  </si>
  <si>
    <t>e1+e2</t>
  </si>
  <si>
    <t>e1*e2</t>
  </si>
  <si>
    <t>lambda+mu</t>
  </si>
  <si>
    <t>lambda-mu</t>
  </si>
  <si>
    <t>(r2-r1)*(e1-e2)</t>
  </si>
  <si>
    <t>(r2-r1)*(e1+e2)</t>
  </si>
  <si>
    <t>lambda</t>
  </si>
  <si>
    <t>mu</t>
  </si>
  <si>
    <t>lambda*e1</t>
  </si>
  <si>
    <t>r1+lambda*e1</t>
  </si>
  <si>
    <t>mu*e2</t>
  </si>
  <si>
    <t>r2+mu*e2</t>
  </si>
  <si>
    <t>mit theoretischen Werten:</t>
  </si>
  <si>
    <t>mit gemessenen Werten:</t>
  </si>
  <si>
    <t>e1</t>
  </si>
  <si>
    <t>e2</t>
  </si>
  <si>
    <t>parall. Winkel</t>
  </si>
  <si>
    <t>Mondentfernung dM</t>
  </si>
  <si>
    <t>dM/RE</t>
  </si>
  <si>
    <t>dm in km</t>
  </si>
  <si>
    <t>geogr. Position</t>
  </si>
  <si>
    <t>omegaErde in Grad/h</t>
  </si>
  <si>
    <t>Basislänge</t>
  </si>
  <si>
    <t>rMond/rErde</t>
  </si>
  <si>
    <t>min. Abstand/rMond</t>
  </si>
  <si>
    <t>Deneb Algedi</t>
  </si>
  <si>
    <t>Iam Aqr</t>
  </si>
  <si>
    <t>Sadalachbia</t>
  </si>
  <si>
    <t>Sadalmelik</t>
  </si>
  <si>
    <t>Sadalsuud</t>
  </si>
  <si>
    <t>Situla</t>
  </si>
  <si>
    <t>Skat</t>
  </si>
  <si>
    <t>Hakos Farm, Namibia</t>
  </si>
  <si>
    <t>Anzahl der x-Pixel</t>
  </si>
  <si>
    <t>Anzahl der y-Pixel</t>
  </si>
  <si>
    <t>Hakos</t>
  </si>
  <si>
    <t>Aus obigen Koordinaten berechnete Winkeldistanzen</t>
  </si>
  <si>
    <r>
      <t xml:space="preserve">In dieses Tabellenblatt müssen in die gelb unterlegten Felder </t>
    </r>
    <r>
      <rPr>
        <b/>
        <sz val="10"/>
        <color indexed="10"/>
        <rFont val="Arial"/>
        <family val="2"/>
      </rPr>
      <t>(nicht mehr als bis Zeile 24!</t>
    </r>
    <r>
      <rPr>
        <sz val="10"/>
        <color indexed="10"/>
        <rFont val="Arial"/>
        <family val="0"/>
      </rPr>
      <t>) mögliche Bezugssterne und ihre Koordinaten</t>
    </r>
    <r>
      <rPr>
        <b/>
        <sz val="10"/>
        <color indexed="10"/>
        <rFont val="Arial"/>
        <family val="2"/>
      </rPr>
      <t xml:space="preserve"> in alphabetischer Reihenfolge</t>
    </r>
    <r>
      <rPr>
        <sz val="10"/>
        <color indexed="10"/>
        <rFont val="Arial"/>
        <family val="0"/>
      </rPr>
      <t xml:space="preserve"> eingetragen werden.</t>
    </r>
  </si>
  <si>
    <r>
      <t xml:space="preserve">In die </t>
    </r>
    <r>
      <rPr>
        <b/>
        <sz val="10"/>
        <color indexed="10"/>
        <rFont val="Arial"/>
        <family val="2"/>
      </rPr>
      <t>Zeilen 27-54</t>
    </r>
    <r>
      <rPr>
        <sz val="10"/>
        <color indexed="10"/>
        <rFont val="Arial"/>
        <family val="0"/>
      </rPr>
      <t xml:space="preserve"> können beliebige Kombinationen dieser Bezugssterne eingetragen werden, für die dann in Spalte C die Winkelabstände berechnet werden.</t>
    </r>
  </si>
  <si>
    <r>
      <t>In den</t>
    </r>
    <r>
      <rPr>
        <b/>
        <sz val="10"/>
        <color indexed="10"/>
        <rFont val="Arial"/>
        <family val="2"/>
      </rPr>
      <t xml:space="preserve"> Zeilen 14-19</t>
    </r>
    <r>
      <rPr>
        <sz val="10"/>
        <color indexed="10"/>
        <rFont val="Arial"/>
        <family val="0"/>
      </rPr>
      <t xml:space="preserve"> müssen die auf dem Bild gemessenen Pixelpositionen des Mondes und ausgewählter Bezugssterne in alphabetischer Reihenfolge eingetragen werden. Die Schreibweise der Namen muss genau mit der in "Bezugssterne" übereinstimmen. </t>
    </r>
  </si>
  <si>
    <r>
      <t xml:space="preserve">In </t>
    </r>
    <r>
      <rPr>
        <b/>
        <sz val="10"/>
        <color indexed="10"/>
        <rFont val="Arial"/>
        <family val="2"/>
      </rPr>
      <t>Zeile 17</t>
    </r>
    <r>
      <rPr>
        <sz val="10"/>
        <color indexed="10"/>
        <rFont val="Arial"/>
        <family val="0"/>
      </rPr>
      <t xml:space="preserve"> ist - nur zum Vergleich! - die korrekte </t>
    </r>
    <r>
      <rPr>
        <i/>
        <sz val="10"/>
        <color indexed="10"/>
        <rFont val="Arial"/>
        <family val="2"/>
      </rPr>
      <t>topozentrische</t>
    </r>
    <r>
      <rPr>
        <sz val="10"/>
        <color indexed="10"/>
        <rFont val="Arial"/>
        <family val="0"/>
      </rPr>
      <t xml:space="preserve"> Mondposition zum Messzeitpunkt einzutragen.</t>
    </r>
  </si>
  <si>
    <t>Bezugsobjekte für die Positionsbestimmung</t>
  </si>
  <si>
    <t>Hier müssen die beiden zur Positionsbestimmung herangezogenen Bezugsobjekte eingetragen werden.</t>
  </si>
  <si>
    <t>Winkelabstände zum Mond</t>
  </si>
  <si>
    <r>
      <t xml:space="preserve">(müssen aus "Positionsberechnung" Zellen </t>
    </r>
    <r>
      <rPr>
        <b/>
        <sz val="10"/>
        <color indexed="10"/>
        <rFont val="Arial"/>
        <family val="2"/>
      </rPr>
      <t>B32 und C32</t>
    </r>
    <r>
      <rPr>
        <sz val="10"/>
        <color indexed="10"/>
        <rFont val="Arial"/>
        <family val="2"/>
      </rPr>
      <t xml:space="preserve"> oder Zellen </t>
    </r>
    <r>
      <rPr>
        <b/>
        <sz val="10"/>
        <color indexed="10"/>
        <rFont val="Arial"/>
        <family val="2"/>
      </rPr>
      <t>B33 und C33</t>
    </r>
    <r>
      <rPr>
        <sz val="10"/>
        <color indexed="10"/>
        <rFont val="Arial"/>
        <family val="2"/>
      </rPr>
      <t xml:space="preserve"> übertragen werden!)</t>
    </r>
  </si>
  <si>
    <t>aus Pixelpos. berechnet</t>
  </si>
  <si>
    <t>aus Koord. berechnet</t>
  </si>
  <si>
    <t>Fehler-quadrate</t>
  </si>
  <si>
    <t>Summe der Fehlerquadrate</t>
  </si>
  <si>
    <r>
      <t>In den</t>
    </r>
    <r>
      <rPr>
        <b/>
        <sz val="10"/>
        <color indexed="10"/>
        <rFont val="Arial"/>
        <family val="2"/>
      </rPr>
      <t xml:space="preserve"> Zeilen 31-40</t>
    </r>
    <r>
      <rPr>
        <sz val="10"/>
        <color indexed="10"/>
        <rFont val="Arial"/>
        <family val="0"/>
      </rPr>
      <t xml:space="preserve"> für ausgewählte Objekt-Kombinationen die theoretischen und gemessenen Winkelabstände und berechnet. Die Brennweite in </t>
    </r>
    <r>
      <rPr>
        <b/>
        <sz val="10"/>
        <color indexed="10"/>
        <rFont val="Arial"/>
        <family val="2"/>
      </rPr>
      <t>Zelle B10</t>
    </r>
    <r>
      <rPr>
        <sz val="10"/>
        <color indexed="10"/>
        <rFont val="Arial"/>
        <family val="0"/>
      </rPr>
      <t xml:space="preserve"> ist "per Hand" so zu justieren, dass die Summe der Fehlerquadrate in </t>
    </r>
    <r>
      <rPr>
        <b/>
        <sz val="10"/>
        <color indexed="10"/>
        <rFont val="Arial"/>
        <family val="2"/>
      </rPr>
      <t>Zelle F31</t>
    </r>
    <r>
      <rPr>
        <sz val="10"/>
        <color indexed="10"/>
        <rFont val="Arial"/>
        <family val="0"/>
      </rPr>
      <t xml:space="preserve"> minimal wird.</t>
    </r>
  </si>
  <si>
    <r>
      <t>Die Werte der gemessenen Mondposition müssen aus "Positionsberechnung" (</t>
    </r>
    <r>
      <rPr>
        <b/>
        <sz val="10"/>
        <color indexed="10"/>
        <rFont val="Arial"/>
        <family val="2"/>
      </rPr>
      <t>Zellen (B28/C28) oder (B29/C29)</t>
    </r>
    <r>
      <rPr>
        <sz val="10"/>
        <color indexed="10"/>
        <rFont val="Arial"/>
        <family val="0"/>
      </rPr>
      <t xml:space="preserve">)  hier in die </t>
    </r>
    <r>
      <rPr>
        <b/>
        <sz val="10"/>
        <color indexed="10"/>
        <rFont val="Arial"/>
        <family val="2"/>
      </rPr>
      <t>Zellen B26 und C26</t>
    </r>
    <r>
      <rPr>
        <sz val="10"/>
        <color indexed="10"/>
        <rFont val="Arial"/>
        <family val="0"/>
      </rPr>
      <t xml:space="preserve"> übertragen werden, nachdem sie dort berechnet worden sind.</t>
    </r>
  </si>
  <si>
    <t>Uhrzeit (UT)</t>
  </si>
  <si>
    <t>Datum der Messung</t>
  </si>
  <si>
    <t>Ort der Messung</t>
  </si>
  <si>
    <r>
      <t xml:space="preserve">(muss so angepasst werden, dass die Summe der Fehlerquadrate in </t>
    </r>
    <r>
      <rPr>
        <b/>
        <sz val="10"/>
        <color indexed="10"/>
        <rFont val="Arial"/>
        <family val="2"/>
      </rPr>
      <t>Zelle F31</t>
    </r>
    <r>
      <rPr>
        <sz val="10"/>
        <color indexed="10"/>
        <rFont val="Arial"/>
        <family val="0"/>
      </rPr>
      <t xml:space="preserve"> minimal wird.)</t>
    </r>
  </si>
  <si>
    <t>(Udo)</t>
  </si>
  <si>
    <t>Bochum</t>
  </si>
  <si>
    <t>(Alfred)</t>
  </si>
  <si>
    <t>Beobachtungsort 1</t>
  </si>
  <si>
    <t>Beobachtungsort 2</t>
  </si>
  <si>
    <t>Bestimmung der Entfernung zum Mond durch Messung seines Parallaxenwinkels</t>
  </si>
  <si>
    <r>
      <t>In diese Tabelle können die Mondpositionen eingesetzt werden, die</t>
    </r>
    <r>
      <rPr>
        <i/>
        <sz val="10"/>
        <rFont val="Arial"/>
        <family val="2"/>
      </rPr>
      <t xml:space="preserve"> gleichzeitig</t>
    </r>
    <r>
      <rPr>
        <sz val="10"/>
        <rFont val="Arial"/>
        <family val="0"/>
      </rPr>
      <t xml:space="preserve"> an weit voneinander entfernten Orte fotografiert und ausgemessen wurden. Zur Messung seiner topozentrischen Positionen werden die Pixelpositionen von mindestens drei Bezugsobjekten (Planeten oder Sterne) auf den Fotos und ihre Koordinaten  benötigt.</t>
    </r>
  </si>
  <si>
    <t>Nummer des Beobachtungsortes (1 oder 2)</t>
  </si>
  <si>
    <t>Winkelabstände in Grad</t>
  </si>
  <si>
    <t>Dekl. In Grad</t>
  </si>
  <si>
    <t>Rekt. In Grad</t>
  </si>
  <si>
    <t>Erdradius in km</t>
  </si>
  <si>
    <t>Ortsvektor r</t>
  </si>
  <si>
    <t>Richtungsvektor e zum Mond</t>
  </si>
  <si>
    <t>Mondabstand/RE</t>
  </si>
  <si>
    <r>
      <t xml:space="preserve">1. Im Tabellenblatt "Bezugssterne usw." müssen in den gelb unterlegten Feldern Namen und Koordinaten geeigneter Referenzsterne, die technischen Daten der beiden Kameras und die geografischen Positionen der Beobachter eingetragen werden. </t>
    </r>
    <r>
      <rPr>
        <b/>
        <sz val="10"/>
        <rFont val="Arial"/>
        <family val="2"/>
      </rPr>
      <t>Die Bezugssterne müssen in alphabetischer Reihenfolge aufgeführt werden!</t>
    </r>
  </si>
  <si>
    <r>
      <t>2. In die folgenden mit "Beobachtungsort 1" und "Beobachtungsort 2" bezeichneten Tabellenblätter ("Messblätter") müssen für jede Messung die verwendeten Bezugsobjekte (</t>
    </r>
    <r>
      <rPr>
        <b/>
        <sz val="10"/>
        <rFont val="Arial"/>
        <family val="2"/>
      </rPr>
      <t>in alphabetischer Reihenfolge</t>
    </r>
    <r>
      <rPr>
        <sz val="10"/>
        <rFont val="Arial"/>
        <family val="0"/>
      </rPr>
      <t>), ihre Pixelkoordinaten und die des Mondes und die Stern-Stern- und Stern-Mond-Paare, deren Positionen verwendet werden sollen, eingetragen werden.</t>
    </r>
  </si>
  <si>
    <t>3. In den rot gekennzeichneten Feldern B10 der "Messblätter" kann die Brennweite des Objektivs so verändert werden, dass die berechneten Winkelabstände zwischen den Bezugsobjekten möglichst gut mit den wahren Werten auf Blatt "Bezugssterne" übereinstimmen (Summe der Fehlerquadrate minimal).</t>
  </si>
  <si>
    <t>4. Durch Angabe der Nummer des Beobachtungsortes werden nacheinander die Namen der zu verwendenden Bezugssterne und ihre gemessenen Winkelabstände zum Mond automatisch aus dem entsprechenden "Messblatt" in Tabellenblatt "Positionsberechnung" übertragen. Das Blatt berechnet daraus, als Lösungen einer quadratischen Gleichung, zwei mögliche Mondpositionen. Die richtige der beiden Lösungen muss per Hand ins Messblatt übertragen werden.</t>
  </si>
  <si>
    <t>Die richtige Lösung findet man am leichtesten durch Vergleich mit der Referenzposition.</t>
  </si>
  <si>
    <r>
      <t xml:space="preserve">Ihre </t>
    </r>
    <r>
      <rPr>
        <i/>
        <sz val="10"/>
        <color indexed="10"/>
        <rFont val="Arial"/>
        <family val="0"/>
      </rPr>
      <t>Zahlenwerte</t>
    </r>
    <r>
      <rPr>
        <sz val="10"/>
        <color indexed="10"/>
        <rFont val="Arial"/>
        <family val="0"/>
      </rPr>
      <t xml:space="preserve"> müssen </t>
    </r>
    <r>
      <rPr>
        <i/>
        <sz val="10"/>
        <color indexed="10"/>
        <rFont val="Arial"/>
        <family val="0"/>
      </rPr>
      <t>per Hand</t>
    </r>
    <r>
      <rPr>
        <sz val="10"/>
        <color indexed="10"/>
        <rFont val="Arial"/>
        <family val="0"/>
      </rPr>
      <t xml:space="preserve"> ins entsprechende Messblatt übertragen werden.</t>
    </r>
  </si>
  <si>
    <t xml:space="preserve">5. Auf dem Tabellenblatt "Parallaxenmessung" wird aus den beiden gemessenen Mondpositionen die Mondentfernung nach dem in "IYA-Parallaxelang.pdf" beschriebenen Verfahren berechnet. </t>
  </si>
  <si>
    <t>In dieser Beispiel-Tabelle wird die Mondentfernung anhand von Positionsdaten bestimmt, die in Fotos gemessen wurden, die am 29. Mai 2016 auf der Hakos-Farm in Namibia und in Bochum aufgenommen wurden.</t>
  </si>
  <si>
    <r>
      <t xml:space="preserve">Dieses Tabellenblatt berechnet aus den ermittelten Mondpositionen selbsttätig die Mondentfernung. Die </t>
    </r>
    <r>
      <rPr>
        <sz val="10"/>
        <color indexed="12"/>
        <rFont val="Arial"/>
        <family val="2"/>
      </rPr>
      <t>benötigten Daten</t>
    </r>
    <r>
      <rPr>
        <sz val="10"/>
        <color indexed="10"/>
        <rFont val="Arial"/>
        <family val="0"/>
      </rPr>
      <t xml:space="preserve"> "holt" es sich aus den vorangehenden Blättern.</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</si>
</sst>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mmm\ yyyy"/>
    <numFmt numFmtId="167" formatCode="0.0000"/>
    <numFmt numFmtId="168" formatCode="0.000E+00"/>
    <numFmt numFmtId="169" formatCode="[$-407]dddd\,\ d\.\ mmmm\ yyyy"/>
    <numFmt numFmtId="170" formatCode="h:mm;@"/>
    <numFmt numFmtId="171" formatCode="h:mm:ss;@"/>
  </numFmts>
  <fonts count="12">
    <font>
      <sz val="10"/>
      <name val="Arial"/>
      <family val="0"/>
    </font>
    <font>
      <sz val="8"/>
      <name val="Arial"/>
      <family val="0"/>
    </font>
    <font>
      <b/>
      <sz val="10"/>
      <name val="Arial"/>
      <family val="2"/>
    </font>
    <font>
      <sz val="10"/>
      <color indexed="10"/>
      <name val="Arial"/>
      <family val="0"/>
    </font>
    <font>
      <b/>
      <sz val="10"/>
      <color indexed="10"/>
      <name val="Arial"/>
      <family val="2"/>
    </font>
    <font>
      <b/>
      <sz val="12"/>
      <name val="Arial"/>
      <family val="2"/>
    </font>
    <font>
      <i/>
      <sz val="10"/>
      <color indexed="10"/>
      <name val="Arial"/>
      <family val="2"/>
    </font>
    <font>
      <sz val="10"/>
      <color indexed="8"/>
      <name val="Arial"/>
      <family val="2"/>
    </font>
    <font>
      <b/>
      <sz val="10"/>
      <color indexed="8"/>
      <name val="Arial"/>
      <family val="2"/>
    </font>
    <font>
      <i/>
      <sz val="10"/>
      <name val="Arial"/>
      <family val="2"/>
    </font>
    <font>
      <sz val="10"/>
      <color indexed="12"/>
      <name val="Arial"/>
      <family val="2"/>
    </font>
    <font>
      <b/>
      <sz val="10"/>
      <color indexed="12"/>
      <name val="Arial"/>
      <family val="2"/>
    </font>
  </fonts>
  <fills count="4">
    <fill>
      <patternFill/>
    </fill>
    <fill>
      <patternFill patternType="gray125"/>
    </fill>
    <fill>
      <patternFill patternType="solid">
        <fgColor indexed="10"/>
        <bgColor indexed="64"/>
      </patternFill>
    </fill>
    <fill>
      <patternFill patternType="solid">
        <fgColor indexed="43"/>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1">
    <xf numFmtId="0" fontId="0" fillId="0" borderId="0" xfId="0" applyAlignment="1">
      <alignment/>
    </xf>
    <xf numFmtId="0" fontId="0" fillId="0" borderId="0" xfId="0" applyAlignment="1" quotePrefix="1">
      <alignment/>
    </xf>
    <xf numFmtId="2" fontId="2" fillId="0" borderId="0" xfId="0" applyNumberFormat="1" applyFont="1" applyAlignment="1">
      <alignment horizontal="center"/>
    </xf>
    <xf numFmtId="164" fontId="0" fillId="0" borderId="0" xfId="0" applyNumberFormat="1" applyAlignment="1">
      <alignment/>
    </xf>
    <xf numFmtId="2" fontId="0" fillId="0" borderId="0" xfId="0" applyNumberFormat="1" applyAlignment="1">
      <alignment/>
    </xf>
    <xf numFmtId="0" fontId="2" fillId="0" borderId="0" xfId="0" applyFont="1" applyAlignment="1">
      <alignment/>
    </xf>
    <xf numFmtId="2" fontId="2" fillId="0" borderId="0" xfId="0" applyNumberFormat="1" applyFont="1" applyAlignment="1">
      <alignment/>
    </xf>
    <xf numFmtId="0" fontId="0" fillId="0" borderId="0" xfId="0" applyAlignment="1">
      <alignment horizontal="right"/>
    </xf>
    <xf numFmtId="0" fontId="0" fillId="0" borderId="0" xfId="0" applyAlignment="1">
      <alignment horizontal="center"/>
    </xf>
    <xf numFmtId="2" fontId="0" fillId="0" borderId="0" xfId="0" applyNumberFormat="1" applyFont="1" applyAlignment="1">
      <alignment/>
    </xf>
    <xf numFmtId="0" fontId="2" fillId="0" borderId="0" xfId="0" applyFont="1" applyAlignment="1">
      <alignment/>
    </xf>
    <xf numFmtId="0" fontId="0" fillId="0" borderId="0" xfId="0" applyFont="1" applyAlignment="1">
      <alignment horizontal="center"/>
    </xf>
    <xf numFmtId="2" fontId="0" fillId="2" borderId="0" xfId="0" applyNumberFormat="1" applyFont="1" applyFill="1" applyAlignment="1">
      <alignment/>
    </xf>
    <xf numFmtId="0" fontId="3" fillId="0" borderId="0" xfId="0" applyFont="1" applyAlignment="1">
      <alignment/>
    </xf>
    <xf numFmtId="0" fontId="0" fillId="2" borderId="0" xfId="0" applyFill="1" applyAlignment="1">
      <alignment/>
    </xf>
    <xf numFmtId="0" fontId="0" fillId="3" borderId="0" xfId="0" applyFill="1" applyAlignment="1">
      <alignment/>
    </xf>
    <xf numFmtId="0" fontId="0" fillId="0" borderId="0" xfId="0" applyFill="1" applyAlignment="1">
      <alignment/>
    </xf>
    <xf numFmtId="2" fontId="3" fillId="0" borderId="0" xfId="0" applyNumberFormat="1" applyFont="1" applyAlignment="1">
      <alignment horizontal="center"/>
    </xf>
    <xf numFmtId="2" fontId="0" fillId="0" borderId="0" xfId="0" applyNumberFormat="1" applyFont="1" applyAlignment="1">
      <alignment horizontal="center"/>
    </xf>
    <xf numFmtId="0" fontId="4" fillId="0" borderId="0" xfId="0" applyFont="1" applyAlignment="1">
      <alignment/>
    </xf>
    <xf numFmtId="0" fontId="2" fillId="0" borderId="0" xfId="0" applyFont="1" applyAlignment="1">
      <alignment horizontal="center"/>
    </xf>
    <xf numFmtId="0" fontId="4" fillId="0" borderId="0" xfId="0" applyFont="1" applyAlignment="1">
      <alignment horizontal="center"/>
    </xf>
    <xf numFmtId="165" fontId="0" fillId="0" borderId="0" xfId="0" applyNumberFormat="1" applyAlignment="1">
      <alignment horizontal="center"/>
    </xf>
    <xf numFmtId="165" fontId="0" fillId="0" borderId="0" xfId="0" applyNumberFormat="1" applyAlignment="1">
      <alignment/>
    </xf>
    <xf numFmtId="0" fontId="0" fillId="0" borderId="0" xfId="0" applyAlignment="1">
      <alignment horizontal="left" wrapText="1"/>
    </xf>
    <xf numFmtId="0" fontId="0" fillId="0" borderId="0" xfId="0" applyFill="1" applyAlignment="1">
      <alignment horizontal="center"/>
    </xf>
    <xf numFmtId="0" fontId="2" fillId="0" borderId="0" xfId="0" applyFont="1" applyAlignment="1">
      <alignment horizontal="left"/>
    </xf>
    <xf numFmtId="164" fontId="2" fillId="0" borderId="0" xfId="0" applyNumberFormat="1" applyFont="1" applyAlignment="1">
      <alignment/>
    </xf>
    <xf numFmtId="168" fontId="0" fillId="0" borderId="0" xfId="0" applyNumberFormat="1" applyAlignment="1">
      <alignment/>
    </xf>
    <xf numFmtId="2" fontId="0" fillId="0" borderId="0" xfId="0" applyNumberFormat="1" applyFill="1" applyAlignment="1">
      <alignment/>
    </xf>
    <xf numFmtId="167" fontId="0" fillId="0" borderId="0" xfId="0" applyNumberFormat="1" applyAlignment="1">
      <alignment/>
    </xf>
    <xf numFmtId="0" fontId="2" fillId="0" borderId="0" xfId="0" applyFont="1" applyFill="1" applyAlignment="1">
      <alignment/>
    </xf>
    <xf numFmtId="0" fontId="3" fillId="0" borderId="0" xfId="0" applyFont="1" applyAlignment="1">
      <alignment horizontal="left"/>
    </xf>
    <xf numFmtId="2" fontId="4" fillId="0" borderId="0" xfId="0" applyNumberFormat="1" applyFont="1" applyAlignment="1">
      <alignment/>
    </xf>
    <xf numFmtId="14" fontId="0" fillId="0" borderId="0" xfId="0" applyNumberFormat="1" applyFill="1" applyAlignment="1">
      <alignment/>
    </xf>
    <xf numFmtId="0" fontId="2" fillId="3" borderId="0" xfId="0" applyFont="1" applyFill="1" applyAlignment="1">
      <alignment/>
    </xf>
    <xf numFmtId="170" fontId="0" fillId="0" borderId="0" xfId="0" applyNumberFormat="1" applyFill="1" applyAlignment="1">
      <alignment/>
    </xf>
    <xf numFmtId="0" fontId="2" fillId="3" borderId="0" xfId="0" applyFont="1" applyFill="1" applyAlignment="1">
      <alignment horizontal="right"/>
    </xf>
    <xf numFmtId="0" fontId="8" fillId="0" borderId="0" xfId="0" applyFont="1" applyAlignment="1">
      <alignment horizontal="center"/>
    </xf>
    <xf numFmtId="165" fontId="0" fillId="0" borderId="0" xfId="0" applyNumberFormat="1" applyFill="1" applyAlignment="1">
      <alignment/>
    </xf>
    <xf numFmtId="14" fontId="2" fillId="3" borderId="0" xfId="0" applyNumberFormat="1" applyFont="1" applyFill="1" applyAlignment="1">
      <alignment/>
    </xf>
    <xf numFmtId="20" fontId="2" fillId="3" borderId="0" xfId="0" applyNumberFormat="1" applyFont="1" applyFill="1" applyAlignment="1">
      <alignment/>
    </xf>
    <xf numFmtId="171" fontId="0" fillId="0" borderId="0" xfId="0" applyNumberFormat="1" applyFill="1" applyAlignment="1">
      <alignment horizontal="center"/>
    </xf>
    <xf numFmtId="2" fontId="7" fillId="0" borderId="0" xfId="0" applyNumberFormat="1" applyFont="1" applyAlignment="1">
      <alignment horizontal="center"/>
    </xf>
    <xf numFmtId="0" fontId="0" fillId="0" borderId="0" xfId="0" applyAlignment="1">
      <alignment horizontal="left" wrapText="1"/>
    </xf>
    <xf numFmtId="0" fontId="2" fillId="0" borderId="0" xfId="0" applyFont="1" applyAlignment="1">
      <alignment horizontal="left"/>
    </xf>
    <xf numFmtId="0" fontId="0" fillId="0" borderId="0" xfId="0" applyAlignment="1">
      <alignment horizontal="left" vertical="top" wrapText="1"/>
    </xf>
    <xf numFmtId="0" fontId="2" fillId="0" borderId="0" xfId="0" applyFont="1" applyAlignment="1">
      <alignment horizontal="center" vertical="center" wrapText="1"/>
    </xf>
    <xf numFmtId="0" fontId="0" fillId="0" borderId="0" xfId="0" applyAlignment="1">
      <alignment horizontal="left"/>
    </xf>
    <xf numFmtId="0" fontId="2" fillId="0" borderId="0" xfId="0" applyFont="1" applyFill="1" applyAlignment="1">
      <alignment horizontal="left"/>
    </xf>
    <xf numFmtId="0" fontId="3" fillId="0" borderId="0" xfId="0" applyFont="1" applyAlignment="1">
      <alignment horizontal="left"/>
    </xf>
    <xf numFmtId="0" fontId="2" fillId="0" borderId="0" xfId="0" applyFont="1" applyAlignment="1">
      <alignment horizontal="center"/>
    </xf>
    <xf numFmtId="0" fontId="3" fillId="0" borderId="0" xfId="0" applyFont="1" applyAlignment="1">
      <alignment horizontal="left"/>
    </xf>
    <xf numFmtId="0" fontId="0" fillId="0" borderId="0" xfId="0" applyAlignment="1">
      <alignment horizontal="center" wrapText="1"/>
    </xf>
    <xf numFmtId="0" fontId="3" fillId="0" borderId="0" xfId="0" applyFont="1" applyAlignment="1">
      <alignment horizontal="left" wrapText="1"/>
    </xf>
    <xf numFmtId="0" fontId="0" fillId="0" borderId="0" xfId="0" applyFont="1" applyAlignment="1">
      <alignment horizontal="center"/>
    </xf>
    <xf numFmtId="0" fontId="0" fillId="0" borderId="0" xfId="0" applyFill="1" applyAlignment="1">
      <alignment horizontal="center"/>
    </xf>
    <xf numFmtId="0" fontId="0" fillId="0" borderId="0" xfId="0" applyAlignment="1">
      <alignment horizontal="center"/>
    </xf>
    <xf numFmtId="0" fontId="2" fillId="0" borderId="0" xfId="0" applyFont="1" applyAlignment="1">
      <alignment horizontal="center" vertical="center"/>
    </xf>
    <xf numFmtId="0" fontId="5" fillId="0" borderId="0" xfId="0" applyFont="1" applyAlignment="1">
      <alignment horizontal="center" wrapText="1"/>
    </xf>
    <xf numFmtId="0" fontId="5" fillId="0" borderId="0" xfId="0" applyFont="1" applyAlignment="1">
      <alignment wrapText="1"/>
    </xf>
    <xf numFmtId="0" fontId="0" fillId="0" borderId="0" xfId="0" applyFont="1" applyAlignment="1">
      <alignment/>
    </xf>
    <xf numFmtId="0" fontId="2" fillId="0" borderId="0" xfId="0" applyFont="1" applyFill="1" applyAlignment="1">
      <alignment horizontal="right"/>
    </xf>
    <xf numFmtId="165" fontId="2" fillId="0" borderId="0" xfId="0" applyNumberFormat="1" applyFont="1" applyFill="1" applyAlignment="1">
      <alignment/>
    </xf>
    <xf numFmtId="171" fontId="2" fillId="3" borderId="0" xfId="0" applyNumberFormat="1" applyFont="1" applyFill="1" applyAlignment="1">
      <alignment horizontal="right"/>
    </xf>
    <xf numFmtId="2" fontId="2" fillId="0" borderId="0" xfId="0" applyNumberFormat="1" applyFont="1" applyAlignment="1">
      <alignment horizontal="center"/>
    </xf>
    <xf numFmtId="14" fontId="11" fillId="0" borderId="0" xfId="0" applyNumberFormat="1" applyFont="1" applyAlignment="1">
      <alignment/>
    </xf>
    <xf numFmtId="170" fontId="11" fillId="0" borderId="0" xfId="0" applyNumberFormat="1" applyFont="1" applyAlignment="1">
      <alignment/>
    </xf>
    <xf numFmtId="0" fontId="11" fillId="0" borderId="0" xfId="0" applyFont="1" applyAlignment="1">
      <alignment/>
    </xf>
    <xf numFmtId="165" fontId="10" fillId="0" borderId="0" xfId="0" applyNumberFormat="1" applyFont="1" applyAlignment="1">
      <alignment horizontal="center"/>
    </xf>
    <xf numFmtId="171" fontId="10" fillId="0" borderId="0" xfId="0" applyNumberFormat="1" applyFont="1" applyFill="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do\Astronomie\AstroBilder(2016-02-04)\2016\Namibia\Mondparallaxe\evaluationMo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data"/>
      <sheetName val="calculation"/>
    </sheetNames>
    <sheetDataSet>
      <sheetData sheetId="1">
        <row r="34">
          <cell r="J34">
            <v>20</v>
          </cell>
          <cell r="K34">
            <v>20</v>
          </cell>
        </row>
        <row r="35">
          <cell r="J35">
            <v>51.434</v>
          </cell>
          <cell r="K35">
            <v>-22.479</v>
          </cell>
        </row>
        <row r="36">
          <cell r="J36">
            <v>7</v>
          </cell>
          <cell r="K36">
            <v>14.95</v>
          </cell>
        </row>
        <row r="37">
          <cell r="J37">
            <v>250</v>
          </cell>
          <cell r="K37">
            <v>750</v>
          </cell>
        </row>
        <row r="38">
          <cell r="J38">
            <v>650</v>
          </cell>
          <cell r="K38">
            <v>50</v>
          </cell>
        </row>
        <row r="39">
          <cell r="J39">
            <v>1906</v>
          </cell>
          <cell r="K39">
            <v>2638</v>
          </cell>
        </row>
        <row r="40">
          <cell r="J40">
            <v>908</v>
          </cell>
          <cell r="K40">
            <v>1070</v>
          </cell>
        </row>
        <row r="41">
          <cell r="J41">
            <v>1278</v>
          </cell>
          <cell r="K41">
            <v>1836</v>
          </cell>
        </row>
        <row r="42">
          <cell r="J42">
            <v>1338</v>
          </cell>
          <cell r="K42">
            <v>1228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27"/>
  <sheetViews>
    <sheetView workbookViewId="0" topLeftCell="A1">
      <selection activeCell="A28" sqref="A28"/>
    </sheetView>
  </sheetViews>
  <sheetFormatPr defaultColWidth="11.421875" defaultRowHeight="12.75"/>
  <sheetData>
    <row r="2" spans="1:13" ht="15.75" customHeight="1">
      <c r="A2" s="59" t="s">
        <v>134</v>
      </c>
      <c r="B2" s="59"/>
      <c r="C2" s="59"/>
      <c r="D2" s="59"/>
      <c r="E2" s="59"/>
      <c r="F2" s="59"/>
      <c r="G2" s="59"/>
      <c r="H2" s="59"/>
      <c r="I2" s="59"/>
      <c r="J2" s="59"/>
      <c r="K2" s="59"/>
      <c r="L2" s="59"/>
      <c r="M2" s="59"/>
    </row>
    <row r="3" spans="1:13" ht="12.75" customHeight="1">
      <c r="A3" s="60"/>
      <c r="B3" s="60"/>
      <c r="C3" s="60"/>
      <c r="D3" s="60"/>
      <c r="E3" s="60"/>
      <c r="F3" s="60"/>
      <c r="G3" s="60"/>
      <c r="H3" s="60"/>
      <c r="I3" s="60"/>
      <c r="J3" s="60"/>
      <c r="K3" s="60"/>
      <c r="L3" s="60"/>
      <c r="M3" s="60"/>
    </row>
    <row r="4" spans="1:13" ht="12.75" customHeight="1">
      <c r="A4" s="44" t="s">
        <v>135</v>
      </c>
      <c r="B4" s="44"/>
      <c r="C4" s="44"/>
      <c r="D4" s="44"/>
      <c r="E4" s="44"/>
      <c r="F4" s="44"/>
      <c r="G4" s="44"/>
      <c r="H4" s="44"/>
      <c r="I4" s="44"/>
      <c r="J4" s="44"/>
      <c r="K4" s="44"/>
      <c r="L4" s="44"/>
      <c r="M4" s="44"/>
    </row>
    <row r="5" spans="1:13" ht="12.75">
      <c r="A5" s="44"/>
      <c r="B5" s="44"/>
      <c r="C5" s="44"/>
      <c r="D5" s="44"/>
      <c r="E5" s="44"/>
      <c r="F5" s="44"/>
      <c r="G5" s="44"/>
      <c r="H5" s="44"/>
      <c r="I5" s="44"/>
      <c r="J5" s="44"/>
      <c r="K5" s="44"/>
      <c r="L5" s="44"/>
      <c r="M5" s="44"/>
    </row>
    <row r="7" spans="1:10" ht="12.75">
      <c r="A7" s="45" t="s">
        <v>67</v>
      </c>
      <c r="B7" s="45"/>
      <c r="J7" s="8"/>
    </row>
    <row r="8" spans="1:2" ht="12.75">
      <c r="A8" s="26"/>
      <c r="B8" s="26"/>
    </row>
    <row r="9" spans="1:13" ht="12.75">
      <c r="A9" s="44" t="s">
        <v>144</v>
      </c>
      <c r="B9" s="44"/>
      <c r="C9" s="44"/>
      <c r="D9" s="44"/>
      <c r="E9" s="44"/>
      <c r="F9" s="44"/>
      <c r="G9" s="44"/>
      <c r="H9" s="44"/>
      <c r="I9" s="44"/>
      <c r="J9" s="44"/>
      <c r="K9" s="44"/>
      <c r="L9" s="44"/>
      <c r="M9" s="44"/>
    </row>
    <row r="10" spans="1:13" ht="12.75">
      <c r="A10" s="44"/>
      <c r="B10" s="44"/>
      <c r="C10" s="44"/>
      <c r="D10" s="44"/>
      <c r="E10" s="44"/>
      <c r="F10" s="44"/>
      <c r="G10" s="44"/>
      <c r="H10" s="44"/>
      <c r="I10" s="44"/>
      <c r="J10" s="44"/>
      <c r="K10" s="44"/>
      <c r="L10" s="44"/>
      <c r="M10" s="44"/>
    </row>
    <row r="11" spans="1:13" ht="12.75">
      <c r="A11" s="24"/>
      <c r="B11" s="24"/>
      <c r="C11" s="24"/>
      <c r="D11" s="24"/>
      <c r="E11" s="24"/>
      <c r="F11" s="24"/>
      <c r="G11" s="24"/>
      <c r="H11" s="24"/>
      <c r="I11" s="24"/>
      <c r="J11" s="24"/>
      <c r="K11" s="24"/>
      <c r="L11" s="24"/>
      <c r="M11" s="24"/>
    </row>
    <row r="12" spans="1:13" ht="12.75">
      <c r="A12" s="44" t="s">
        <v>145</v>
      </c>
      <c r="B12" s="44"/>
      <c r="C12" s="44"/>
      <c r="D12" s="44"/>
      <c r="E12" s="44"/>
      <c r="F12" s="44"/>
      <c r="G12" s="44"/>
      <c r="H12" s="44"/>
      <c r="I12" s="44"/>
      <c r="J12" s="44"/>
      <c r="K12" s="44"/>
      <c r="L12" s="44"/>
      <c r="M12" s="44"/>
    </row>
    <row r="13" spans="1:13" ht="12.75">
      <c r="A13" s="44"/>
      <c r="B13" s="44"/>
      <c r="C13" s="44"/>
      <c r="D13" s="44"/>
      <c r="E13" s="44"/>
      <c r="F13" s="44"/>
      <c r="G13" s="44"/>
      <c r="H13" s="44"/>
      <c r="I13" s="44"/>
      <c r="J13" s="44"/>
      <c r="K13" s="44"/>
      <c r="L13" s="44"/>
      <c r="M13" s="44"/>
    </row>
    <row r="14" spans="1:13" ht="12.75">
      <c r="A14" s="24"/>
      <c r="B14" s="24"/>
      <c r="C14" s="24"/>
      <c r="D14" s="24"/>
      <c r="E14" s="24"/>
      <c r="F14" s="24"/>
      <c r="G14" s="24"/>
      <c r="H14" s="24"/>
      <c r="I14" s="24"/>
      <c r="J14" s="24"/>
      <c r="K14" s="24"/>
      <c r="L14" s="24"/>
      <c r="M14" s="24"/>
    </row>
    <row r="15" spans="1:13" ht="12.75">
      <c r="A15" s="44" t="s">
        <v>146</v>
      </c>
      <c r="B15" s="44"/>
      <c r="C15" s="44"/>
      <c r="D15" s="44"/>
      <c r="E15" s="44"/>
      <c r="F15" s="44"/>
      <c r="G15" s="44"/>
      <c r="H15" s="44"/>
      <c r="I15" s="44"/>
      <c r="J15" s="44"/>
      <c r="K15" s="44"/>
      <c r="L15" s="44"/>
      <c r="M15" s="44"/>
    </row>
    <row r="16" spans="1:13" ht="12.75">
      <c r="A16" s="44"/>
      <c r="B16" s="44"/>
      <c r="C16" s="44"/>
      <c r="D16" s="44"/>
      <c r="E16" s="44"/>
      <c r="F16" s="44"/>
      <c r="G16" s="44"/>
      <c r="H16" s="44"/>
      <c r="I16" s="44"/>
      <c r="J16" s="44"/>
      <c r="K16" s="44"/>
      <c r="L16" s="44"/>
      <c r="M16" s="44"/>
    </row>
    <row r="17" spans="1:13" ht="12.75">
      <c r="A17" s="24"/>
      <c r="B17" s="24"/>
      <c r="C17" s="24"/>
      <c r="D17" s="24"/>
      <c r="E17" s="24"/>
      <c r="F17" s="24"/>
      <c r="G17" s="24"/>
      <c r="H17" s="24"/>
      <c r="I17" s="24"/>
      <c r="J17" s="24"/>
      <c r="K17" s="24"/>
      <c r="L17" s="24"/>
      <c r="M17" s="24"/>
    </row>
    <row r="18" spans="1:13" ht="12.75" customHeight="1">
      <c r="A18" s="44" t="s">
        <v>147</v>
      </c>
      <c r="B18" s="44"/>
      <c r="C18" s="44"/>
      <c r="D18" s="44"/>
      <c r="E18" s="44"/>
      <c r="F18" s="44"/>
      <c r="G18" s="44"/>
      <c r="H18" s="44"/>
      <c r="I18" s="44"/>
      <c r="J18" s="44"/>
      <c r="K18" s="44"/>
      <c r="L18" s="44"/>
      <c r="M18" s="44"/>
    </row>
    <row r="19" spans="1:13" ht="12.75">
      <c r="A19" s="44"/>
      <c r="B19" s="44"/>
      <c r="C19" s="44"/>
      <c r="D19" s="44"/>
      <c r="E19" s="44"/>
      <c r="F19" s="44"/>
      <c r="G19" s="44"/>
      <c r="H19" s="44"/>
      <c r="I19" s="44"/>
      <c r="J19" s="44"/>
      <c r="K19" s="44"/>
      <c r="L19" s="44"/>
      <c r="M19" s="44"/>
    </row>
    <row r="20" spans="1:13" ht="12.75">
      <c r="A20" s="44"/>
      <c r="B20" s="44"/>
      <c r="C20" s="44"/>
      <c r="D20" s="44"/>
      <c r="E20" s="44"/>
      <c r="F20" s="44"/>
      <c r="G20" s="44"/>
      <c r="H20" s="44"/>
      <c r="I20" s="44"/>
      <c r="J20" s="44"/>
      <c r="K20" s="44"/>
      <c r="L20" s="44"/>
      <c r="M20" s="44"/>
    </row>
    <row r="21" spans="1:13" ht="12.75">
      <c r="A21" s="24"/>
      <c r="B21" s="24"/>
      <c r="C21" s="24"/>
      <c r="D21" s="24"/>
      <c r="E21" s="24"/>
      <c r="F21" s="24"/>
      <c r="G21" s="24"/>
      <c r="H21" s="24"/>
      <c r="I21" s="24"/>
      <c r="J21" s="24"/>
      <c r="K21" s="24"/>
      <c r="L21" s="24"/>
      <c r="M21" s="24"/>
    </row>
    <row r="22" spans="1:13" ht="12.75">
      <c r="A22" s="46" t="s">
        <v>150</v>
      </c>
      <c r="B22" s="46"/>
      <c r="C22" s="46"/>
      <c r="D22" s="46"/>
      <c r="E22" s="46"/>
      <c r="F22" s="46"/>
      <c r="G22" s="46"/>
      <c r="H22" s="46"/>
      <c r="I22" s="46"/>
      <c r="J22" s="46"/>
      <c r="K22" s="46"/>
      <c r="L22" s="46"/>
      <c r="M22" s="46"/>
    </row>
    <row r="23" spans="1:13" ht="12.75">
      <c r="A23" s="46"/>
      <c r="B23" s="46"/>
      <c r="C23" s="46"/>
      <c r="D23" s="46"/>
      <c r="E23" s="46"/>
      <c r="F23" s="46"/>
      <c r="G23" s="46"/>
      <c r="H23" s="46"/>
      <c r="I23" s="46"/>
      <c r="J23" s="46"/>
      <c r="K23" s="46"/>
      <c r="L23" s="46"/>
      <c r="M23" s="46"/>
    </row>
    <row r="26" spans="1:13" ht="12.75">
      <c r="A26" s="47" t="s">
        <v>151</v>
      </c>
      <c r="B26" s="47"/>
      <c r="C26" s="47"/>
      <c r="D26" s="47"/>
      <c r="E26" s="47"/>
      <c r="F26" s="47"/>
      <c r="G26" s="47"/>
      <c r="H26" s="47"/>
      <c r="I26" s="47"/>
      <c r="J26" s="47"/>
      <c r="K26" s="47"/>
      <c r="L26" s="47"/>
      <c r="M26" s="47"/>
    </row>
    <row r="27" spans="1:13" ht="12.75">
      <c r="A27" s="47"/>
      <c r="B27" s="47"/>
      <c r="C27" s="47"/>
      <c r="D27" s="47"/>
      <c r="E27" s="47"/>
      <c r="F27" s="47"/>
      <c r="G27" s="47"/>
      <c r="H27" s="47"/>
      <c r="I27" s="47"/>
      <c r="J27" s="47"/>
      <c r="K27" s="47"/>
      <c r="L27" s="47"/>
      <c r="M27" s="47"/>
    </row>
  </sheetData>
  <mergeCells count="9">
    <mergeCell ref="A22:M23"/>
    <mergeCell ref="A26:M27"/>
    <mergeCell ref="A15:M16"/>
    <mergeCell ref="A18:M20"/>
    <mergeCell ref="A12:M13"/>
    <mergeCell ref="A7:B7"/>
    <mergeCell ref="A2:M2"/>
    <mergeCell ref="A9:M10"/>
    <mergeCell ref="A4:M5"/>
  </mergeCells>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54"/>
  <sheetViews>
    <sheetView workbookViewId="0" topLeftCell="A5">
      <selection activeCell="L10" sqref="L10"/>
    </sheetView>
  </sheetViews>
  <sheetFormatPr defaultColWidth="11.421875" defaultRowHeight="12.75"/>
  <cols>
    <col min="1" max="1" width="26.7109375" style="0" customWidth="1"/>
    <col min="11" max="11" width="22.00390625" style="0" customWidth="1"/>
  </cols>
  <sheetData>
    <row r="1" spans="1:13" ht="12.75">
      <c r="A1" s="50" t="s">
        <v>111</v>
      </c>
      <c r="B1" s="50"/>
      <c r="C1" s="50"/>
      <c r="D1" s="50"/>
      <c r="E1" s="50"/>
      <c r="F1" s="50"/>
      <c r="G1" s="50"/>
      <c r="H1" s="50"/>
      <c r="I1" s="50"/>
      <c r="J1" s="50"/>
      <c r="K1" s="50"/>
      <c r="L1" s="50"/>
      <c r="M1" s="50"/>
    </row>
    <row r="2" spans="1:13" ht="12.75">
      <c r="A2" s="50" t="s">
        <v>112</v>
      </c>
      <c r="B2" s="50"/>
      <c r="C2" s="50"/>
      <c r="D2" s="50"/>
      <c r="E2" s="50"/>
      <c r="F2" s="50"/>
      <c r="G2" s="50"/>
      <c r="H2" s="50"/>
      <c r="I2" s="50"/>
      <c r="J2" s="50"/>
      <c r="K2" s="50"/>
      <c r="L2" s="50"/>
      <c r="M2" s="50"/>
    </row>
    <row r="5" spans="2:9" ht="12.75">
      <c r="B5" s="51" t="s">
        <v>6</v>
      </c>
      <c r="C5" s="51"/>
      <c r="D5" s="51"/>
      <c r="E5" s="51"/>
      <c r="F5" s="51" t="s">
        <v>7</v>
      </c>
      <c r="G5" s="51"/>
      <c r="H5" s="51"/>
      <c r="I5" s="51"/>
    </row>
    <row r="6" spans="2:12" ht="12.75">
      <c r="B6" t="s">
        <v>0</v>
      </c>
      <c r="C6" t="s">
        <v>1</v>
      </c>
      <c r="D6" t="s">
        <v>2</v>
      </c>
      <c r="E6" t="s">
        <v>3</v>
      </c>
      <c r="F6" t="s">
        <v>3</v>
      </c>
      <c r="G6" s="1" t="s">
        <v>4</v>
      </c>
      <c r="H6" t="s">
        <v>5</v>
      </c>
      <c r="I6" t="s">
        <v>3</v>
      </c>
      <c r="K6" s="5" t="s">
        <v>126</v>
      </c>
      <c r="L6" s="40">
        <v>42519</v>
      </c>
    </row>
    <row r="7" spans="1:13" ht="12.75">
      <c r="A7" s="15" t="s">
        <v>99</v>
      </c>
      <c r="B7" s="15">
        <v>21</v>
      </c>
      <c r="C7" s="15">
        <v>47</v>
      </c>
      <c r="D7" s="15">
        <v>2.75</v>
      </c>
      <c r="E7" s="2">
        <f>IF(A7="","",((D7/60+C7)/60+B7)*15)</f>
        <v>326.76145833333334</v>
      </c>
      <c r="F7" s="15">
        <v>-16</v>
      </c>
      <c r="G7" s="15">
        <v>7</v>
      </c>
      <c r="H7" s="15">
        <v>43.19</v>
      </c>
      <c r="I7" s="2">
        <f>IF(A7="","",IF(F7&gt;0,(G7+H7/60)/60+F7,-(G7+H7/60)/60+F7))</f>
        <v>-16.128663888888887</v>
      </c>
      <c r="K7" s="5" t="s">
        <v>125</v>
      </c>
      <c r="L7" s="41">
        <v>0.09027777777777778</v>
      </c>
      <c r="M7" s="10"/>
    </row>
    <row r="8" spans="1:13" ht="12.75">
      <c r="A8" s="15" t="s">
        <v>100</v>
      </c>
      <c r="B8" s="15">
        <v>22</v>
      </c>
      <c r="C8" s="15">
        <v>52</v>
      </c>
      <c r="D8" s="15">
        <v>36.9</v>
      </c>
      <c r="E8" s="2">
        <f aca="true" t="shared" si="0" ref="E8:E24">IF(A8="","",((D8/60+C8)/60+B8)*15)</f>
        <v>343.15375</v>
      </c>
      <c r="F8" s="15">
        <v>-7</v>
      </c>
      <c r="G8" s="15">
        <v>34</v>
      </c>
      <c r="H8" s="15">
        <v>46</v>
      </c>
      <c r="I8" s="2">
        <f aca="true" t="shared" si="1" ref="I8:I23">IF(A8="","",IF(F8&gt;0,(G8+H8/60)/60+F8,-(G8+H8/60)/60+F8))</f>
        <v>-7.579444444444444</v>
      </c>
      <c r="K8" s="5" t="s">
        <v>132</v>
      </c>
      <c r="L8" s="37" t="s">
        <v>109</v>
      </c>
      <c r="M8" t="s">
        <v>129</v>
      </c>
    </row>
    <row r="9" spans="1:13" ht="12.75">
      <c r="A9" s="15" t="s">
        <v>101</v>
      </c>
      <c r="B9" s="15">
        <v>22</v>
      </c>
      <c r="C9" s="15">
        <v>21</v>
      </c>
      <c r="D9" s="15">
        <v>39.52</v>
      </c>
      <c r="E9" s="2">
        <f t="shared" si="0"/>
        <v>335.4146666666667</v>
      </c>
      <c r="F9" s="15">
        <v>-1</v>
      </c>
      <c r="G9" s="15">
        <v>23</v>
      </c>
      <c r="H9" s="15">
        <v>14.24</v>
      </c>
      <c r="I9" s="2">
        <f t="shared" si="1"/>
        <v>-1.3872888888888888</v>
      </c>
      <c r="K9" s="5" t="s">
        <v>133</v>
      </c>
      <c r="L9" s="37" t="s">
        <v>130</v>
      </c>
      <c r="M9" t="s">
        <v>131</v>
      </c>
    </row>
    <row r="10" spans="1:12" ht="12.75">
      <c r="A10" s="15" t="s">
        <v>102</v>
      </c>
      <c r="B10" s="15">
        <v>22</v>
      </c>
      <c r="C10" s="15">
        <v>5</v>
      </c>
      <c r="D10" s="15">
        <v>47.06</v>
      </c>
      <c r="E10" s="2">
        <f t="shared" si="0"/>
        <v>331.4460833333333</v>
      </c>
      <c r="F10" s="15">
        <v>0</v>
      </c>
      <c r="G10" s="15">
        <v>19</v>
      </c>
      <c r="H10" s="15">
        <v>11.61</v>
      </c>
      <c r="I10" s="2">
        <f t="shared" si="1"/>
        <v>-0.3198916666666667</v>
      </c>
      <c r="K10" s="5" t="str">
        <f>CONCATENATE("Sternzeit in ",Ort1)</f>
        <v>Sternzeit in Hakos</v>
      </c>
      <c r="L10" s="64">
        <f>(19+(43+29.138/60)/60)/24</f>
        <v>0.8218650231481481</v>
      </c>
    </row>
    <row r="11" spans="1:12" ht="12.75">
      <c r="A11" s="15" t="s">
        <v>103</v>
      </c>
      <c r="B11" s="15">
        <v>21</v>
      </c>
      <c r="C11" s="15">
        <v>31</v>
      </c>
      <c r="D11" s="15">
        <v>33.56</v>
      </c>
      <c r="E11" s="2">
        <f t="shared" si="0"/>
        <v>322.88983333333334</v>
      </c>
      <c r="F11" s="15">
        <v>-5</v>
      </c>
      <c r="G11" s="15">
        <v>34</v>
      </c>
      <c r="H11" s="15">
        <v>16.34</v>
      </c>
      <c r="I11" s="2">
        <f t="shared" si="1"/>
        <v>-5.571205555555555</v>
      </c>
      <c r="K11" s="10" t="s">
        <v>42</v>
      </c>
      <c r="L11" s="10"/>
    </row>
    <row r="12" spans="1:12" ht="12.75">
      <c r="A12" s="15" t="s">
        <v>104</v>
      </c>
      <c r="B12" s="15">
        <v>22</v>
      </c>
      <c r="C12" s="15">
        <v>37</v>
      </c>
      <c r="D12" s="15">
        <v>45.3</v>
      </c>
      <c r="E12" s="2">
        <f t="shared" si="0"/>
        <v>339.43874999999997</v>
      </c>
      <c r="F12" s="15">
        <v>-4</v>
      </c>
      <c r="G12" s="15">
        <v>13</v>
      </c>
      <c r="H12" s="15">
        <v>42.98</v>
      </c>
      <c r="I12" s="2">
        <f t="shared" si="1"/>
        <v>-4.228605555555555</v>
      </c>
      <c r="K12" s="16" t="s">
        <v>9</v>
      </c>
      <c r="L12" s="16">
        <f>IF(Ort="Hakos",G28,H28)</f>
        <v>0.0039</v>
      </c>
    </row>
    <row r="13" spans="1:12" ht="12.75">
      <c r="A13" s="15" t="s">
        <v>105</v>
      </c>
      <c r="B13" s="15">
        <v>22</v>
      </c>
      <c r="C13" s="15">
        <v>54</v>
      </c>
      <c r="D13" s="15">
        <v>38.96</v>
      </c>
      <c r="E13" s="2">
        <f t="shared" si="0"/>
        <v>343.6623333333333</v>
      </c>
      <c r="F13" s="15">
        <v>-15</v>
      </c>
      <c r="G13" s="15">
        <v>49</v>
      </c>
      <c r="H13" s="15">
        <v>15.37</v>
      </c>
      <c r="I13" s="2">
        <f t="shared" si="1"/>
        <v>-15.820936111111111</v>
      </c>
      <c r="K13" s="16" t="s">
        <v>63</v>
      </c>
      <c r="L13" s="16">
        <f>IF(Ort="Hakos",G29,H29)</f>
        <v>6000</v>
      </c>
    </row>
    <row r="14" spans="1:12" ht="12.75">
      <c r="A14" s="15"/>
      <c r="B14" s="15"/>
      <c r="C14" s="15"/>
      <c r="D14" s="15"/>
      <c r="E14" s="2">
        <f t="shared" si="0"/>
      </c>
      <c r="F14" s="15"/>
      <c r="G14" s="15"/>
      <c r="H14" s="15"/>
      <c r="I14" s="2">
        <f t="shared" si="1"/>
      </c>
      <c r="K14" s="16" t="s">
        <v>64</v>
      </c>
      <c r="L14" s="16">
        <f>IF(Ort="Hakos",G30,H30)</f>
        <v>4000</v>
      </c>
    </row>
    <row r="15" spans="1:12" ht="12.75">
      <c r="A15" s="15"/>
      <c r="B15" s="15"/>
      <c r="C15" s="15"/>
      <c r="D15" s="15"/>
      <c r="E15" s="2">
        <f t="shared" si="0"/>
      </c>
      <c r="F15" s="15"/>
      <c r="G15" s="15"/>
      <c r="H15" s="15"/>
      <c r="I15" s="2">
        <f t="shared" si="1"/>
      </c>
      <c r="K15" s="16" t="s">
        <v>66</v>
      </c>
      <c r="L15" s="16">
        <f>IF(Ort=Ort1,G31,H31)</f>
        <v>39</v>
      </c>
    </row>
    <row r="16" spans="1:12" ht="12.75">
      <c r="A16" s="15"/>
      <c r="B16" s="15"/>
      <c r="C16" s="15"/>
      <c r="D16" s="15"/>
      <c r="E16" s="2">
        <f t="shared" si="0"/>
      </c>
      <c r="F16" s="15"/>
      <c r="G16" s="15"/>
      <c r="H16" s="15"/>
      <c r="I16" s="2">
        <f t="shared" si="1"/>
      </c>
      <c r="K16" t="s">
        <v>11</v>
      </c>
      <c r="L16">
        <f>ROUND(nx/2,0)</f>
        <v>3000</v>
      </c>
    </row>
    <row r="17" spans="1:12" ht="12.75">
      <c r="A17" s="15"/>
      <c r="B17" s="15"/>
      <c r="C17" s="15"/>
      <c r="D17" s="15"/>
      <c r="E17" s="2">
        <f t="shared" si="0"/>
      </c>
      <c r="F17" s="15"/>
      <c r="G17" s="15"/>
      <c r="H17" s="15"/>
      <c r="I17" s="2">
        <f t="shared" si="1"/>
      </c>
      <c r="K17" t="s">
        <v>12</v>
      </c>
      <c r="L17">
        <f>ROUND(L14/2,0)</f>
        <v>2000</v>
      </c>
    </row>
    <row r="18" spans="1:12" ht="12.75">
      <c r="A18" s="15"/>
      <c r="B18" s="15"/>
      <c r="C18" s="15"/>
      <c r="D18" s="15"/>
      <c r="E18" s="2">
        <f t="shared" si="0"/>
      </c>
      <c r="F18" s="15"/>
      <c r="G18" s="15"/>
      <c r="H18" s="15"/>
      <c r="I18" s="2">
        <f t="shared" si="1"/>
      </c>
      <c r="K18" t="s">
        <v>3</v>
      </c>
      <c r="L18">
        <f>PI()/180</f>
        <v>0.017453292519943295</v>
      </c>
    </row>
    <row r="19" spans="1:9" ht="12.75">
      <c r="A19" s="15"/>
      <c r="B19" s="15"/>
      <c r="C19" s="15"/>
      <c r="D19" s="15"/>
      <c r="E19" s="2">
        <f t="shared" si="0"/>
      </c>
      <c r="F19" s="15"/>
      <c r="G19" s="15"/>
      <c r="H19" s="15"/>
      <c r="I19" s="2">
        <f t="shared" si="1"/>
      </c>
    </row>
    <row r="20" spans="1:12" ht="12.75">
      <c r="A20" s="15"/>
      <c r="B20" s="15"/>
      <c r="C20" s="15"/>
      <c r="D20" s="15"/>
      <c r="E20" s="2">
        <f t="shared" si="0"/>
      </c>
      <c r="F20" s="15"/>
      <c r="G20" s="15"/>
      <c r="H20" s="15"/>
      <c r="I20" s="2">
        <f t="shared" si="1"/>
      </c>
      <c r="K20" t="s">
        <v>140</v>
      </c>
      <c r="L20">
        <v>6371</v>
      </c>
    </row>
    <row r="21" spans="1:12" ht="12.75">
      <c r="A21" s="15"/>
      <c r="B21" s="15"/>
      <c r="C21" s="15"/>
      <c r="D21" s="15"/>
      <c r="E21" s="2">
        <f t="shared" si="0"/>
      </c>
      <c r="F21" s="15"/>
      <c r="G21" s="15"/>
      <c r="H21" s="15"/>
      <c r="I21" s="2">
        <f t="shared" si="1"/>
      </c>
      <c r="K21" t="s">
        <v>95</v>
      </c>
      <c r="L21" s="4">
        <f>360/(23+56/60)</f>
        <v>15.041782729805014</v>
      </c>
    </row>
    <row r="22" spans="1:12" ht="12.75">
      <c r="A22" s="15"/>
      <c r="B22" s="15"/>
      <c r="C22" s="15"/>
      <c r="D22" s="15"/>
      <c r="E22" s="2">
        <f t="shared" si="0"/>
      </c>
      <c r="F22" s="15"/>
      <c r="G22" s="15"/>
      <c r="H22" s="15"/>
      <c r="I22" s="2">
        <f t="shared" si="1"/>
      </c>
      <c r="K22" t="s">
        <v>97</v>
      </c>
      <c r="L22">
        <v>0.272</v>
      </c>
    </row>
    <row r="23" spans="1:13" ht="12.75">
      <c r="A23" s="15"/>
      <c r="B23" s="15"/>
      <c r="C23" s="15"/>
      <c r="D23" s="15"/>
      <c r="E23" s="2">
        <f t="shared" si="0"/>
      </c>
      <c r="F23" s="15"/>
      <c r="G23" s="15"/>
      <c r="H23" s="15"/>
      <c r="I23" s="2">
        <f t="shared" si="1"/>
      </c>
      <c r="M23" s="16" t="s">
        <v>62</v>
      </c>
    </row>
    <row r="24" spans="1:13" ht="12.75">
      <c r="A24" s="15"/>
      <c r="B24" s="15"/>
      <c r="C24" s="15"/>
      <c r="D24" s="15"/>
      <c r="E24" s="2">
        <f t="shared" si="0"/>
      </c>
      <c r="F24" s="15"/>
      <c r="G24" s="15"/>
      <c r="H24" s="15"/>
      <c r="I24" s="2">
        <f>IF(A24="","",IF(F24&gt;0,(G24+H24/60)/60+F24,-(G24+H24/60)/60+F24))</f>
      </c>
      <c r="K24" s="16" t="s">
        <v>65</v>
      </c>
      <c r="L24" s="16" t="s">
        <v>61</v>
      </c>
      <c r="M24" s="16">
        <f>IF(Ort=Ort1,G33,H33)</f>
        <v>7.22</v>
      </c>
    </row>
    <row r="25" spans="7:12" ht="12.75">
      <c r="G25" s="8"/>
      <c r="H25" s="8"/>
      <c r="K25" s="16" t="s">
        <v>106</v>
      </c>
      <c r="L25" s="39">
        <f>IF(Ort=Ort1,G32,H32)</f>
        <v>51.48</v>
      </c>
    </row>
    <row r="26" spans="1:8" ht="12.75">
      <c r="A26" s="49" t="s">
        <v>110</v>
      </c>
      <c r="B26" s="49"/>
      <c r="C26" s="49"/>
      <c r="D26" s="31"/>
      <c r="G26" s="25"/>
      <c r="H26" s="25"/>
    </row>
    <row r="27" spans="1:8" ht="12.75">
      <c r="A27" s="15" t="s">
        <v>99</v>
      </c>
      <c r="B27" s="15" t="s">
        <v>105</v>
      </c>
      <c r="C27">
        <f aca="true" t="shared" si="2" ref="C27:C54">IF(A27="","",ACOS(SIN(VLOOKUP(A27,$A$7:$I$24,9)*Grad)*SIN(VLOOKUP(B27,$A$7:$I$24,9)*Grad)+COS(VLOOKUP(A27,$A$7:$I$24,9)*Grad)*COS(VLOOKUP(B27,$A$7:$I$24,9)*Grad)*COS(VLOOKUP(A27,$A$7:$I$24,5)*Grad-VLOOKUP(B27,$A$7:$I$24,5)*Grad))/Grad)</f>
        <v>16.246603743992345</v>
      </c>
      <c r="G27" s="25" t="str">
        <f>Ort1</f>
        <v>Hakos</v>
      </c>
      <c r="H27" s="25" t="str">
        <f>Ort2</f>
        <v>Bochum</v>
      </c>
    </row>
    <row r="28" spans="1:8" ht="12.75">
      <c r="A28" s="15" t="s">
        <v>99</v>
      </c>
      <c r="B28" s="15" t="s">
        <v>100</v>
      </c>
      <c r="C28">
        <f t="shared" si="2"/>
        <v>18.161532056850827</v>
      </c>
      <c r="E28" s="48" t="s">
        <v>9</v>
      </c>
      <c r="F28" s="48"/>
      <c r="G28" s="15">
        <v>0.0043</v>
      </c>
      <c r="H28" s="15">
        <v>0.0039</v>
      </c>
    </row>
    <row r="29" spans="1:8" ht="12.75">
      <c r="A29" s="15" t="s">
        <v>99</v>
      </c>
      <c r="B29" s="15" t="s">
        <v>102</v>
      </c>
      <c r="C29">
        <f t="shared" si="2"/>
        <v>16.470230864717273</v>
      </c>
      <c r="E29" s="48" t="s">
        <v>107</v>
      </c>
      <c r="F29" s="48"/>
      <c r="G29" s="15">
        <v>5184</v>
      </c>
      <c r="H29" s="15">
        <v>6000</v>
      </c>
    </row>
    <row r="30" spans="1:8" ht="12.75">
      <c r="A30" s="15" t="s">
        <v>102</v>
      </c>
      <c r="B30" s="15" t="s">
        <v>105</v>
      </c>
      <c r="C30">
        <f t="shared" si="2"/>
        <v>19.637169989628205</v>
      </c>
      <c r="E30" s="48" t="s">
        <v>108</v>
      </c>
      <c r="F30" s="48"/>
      <c r="G30" s="15">
        <v>3456</v>
      </c>
      <c r="H30" s="15">
        <v>4000</v>
      </c>
    </row>
    <row r="31" spans="1:8" ht="12.75">
      <c r="A31" s="15" t="s">
        <v>102</v>
      </c>
      <c r="B31" s="15" t="s">
        <v>100</v>
      </c>
      <c r="C31">
        <f t="shared" si="2"/>
        <v>13.745278625076105</v>
      </c>
      <c r="E31" s="48" t="s">
        <v>66</v>
      </c>
      <c r="F31" s="48"/>
      <c r="G31" s="15">
        <v>32</v>
      </c>
      <c r="H31" s="15">
        <v>39</v>
      </c>
    </row>
    <row r="32" spans="1:8" ht="12.75">
      <c r="A32" s="15"/>
      <c r="B32" s="15"/>
      <c r="C32">
        <f t="shared" si="2"/>
      </c>
      <c r="E32" s="48" t="s">
        <v>94</v>
      </c>
      <c r="F32" s="48"/>
      <c r="G32" s="15">
        <v>-23.14</v>
      </c>
      <c r="H32" s="15">
        <v>51.48</v>
      </c>
    </row>
    <row r="33" spans="1:8" ht="12.75">
      <c r="A33" s="15"/>
      <c r="B33" s="15"/>
      <c r="C33">
        <f t="shared" si="2"/>
      </c>
      <c r="G33" s="15">
        <v>16.33</v>
      </c>
      <c r="H33" s="15">
        <v>7.22</v>
      </c>
    </row>
    <row r="34" spans="1:3" ht="12.75">
      <c r="A34" s="15"/>
      <c r="B34" s="15"/>
      <c r="C34">
        <f t="shared" si="2"/>
      </c>
    </row>
    <row r="35" spans="1:3" ht="12.75">
      <c r="A35" s="15"/>
      <c r="B35" s="15"/>
      <c r="C35">
        <f t="shared" si="2"/>
      </c>
    </row>
    <row r="36" spans="1:3" ht="12.75">
      <c r="A36" s="15"/>
      <c r="B36" s="15"/>
      <c r="C36">
        <f t="shared" si="2"/>
      </c>
    </row>
    <row r="37" spans="1:3" ht="12.75">
      <c r="A37" s="15"/>
      <c r="B37" s="15"/>
      <c r="C37">
        <f t="shared" si="2"/>
      </c>
    </row>
    <row r="38" spans="1:3" ht="12.75">
      <c r="A38" s="15"/>
      <c r="B38" s="15"/>
      <c r="C38">
        <f t="shared" si="2"/>
      </c>
    </row>
    <row r="39" spans="1:3" ht="12.75">
      <c r="A39" s="15"/>
      <c r="B39" s="15"/>
      <c r="C39">
        <f t="shared" si="2"/>
      </c>
    </row>
    <row r="40" spans="1:3" ht="12.75">
      <c r="A40" s="15"/>
      <c r="B40" s="15"/>
      <c r="C40">
        <f t="shared" si="2"/>
      </c>
    </row>
    <row r="41" spans="1:3" ht="12.75">
      <c r="A41" s="15"/>
      <c r="B41" s="15"/>
      <c r="C41">
        <f t="shared" si="2"/>
      </c>
    </row>
    <row r="42" spans="1:3" ht="12.75">
      <c r="A42" s="15"/>
      <c r="B42" s="15"/>
      <c r="C42">
        <f t="shared" si="2"/>
      </c>
    </row>
    <row r="43" spans="1:3" ht="12.75">
      <c r="A43" s="15"/>
      <c r="B43" s="15"/>
      <c r="C43">
        <f t="shared" si="2"/>
      </c>
    </row>
    <row r="44" spans="1:3" ht="12.75">
      <c r="A44" s="15"/>
      <c r="B44" s="15"/>
      <c r="C44">
        <f t="shared" si="2"/>
      </c>
    </row>
    <row r="45" spans="1:3" ht="12.75">
      <c r="A45" s="15"/>
      <c r="B45" s="15"/>
      <c r="C45">
        <f t="shared" si="2"/>
      </c>
    </row>
    <row r="46" spans="1:3" ht="12.75">
      <c r="A46" s="15"/>
      <c r="B46" s="15"/>
      <c r="C46">
        <f t="shared" si="2"/>
      </c>
    </row>
    <row r="47" spans="1:3" ht="12.75">
      <c r="A47" s="15"/>
      <c r="B47" s="15"/>
      <c r="C47">
        <f t="shared" si="2"/>
      </c>
    </row>
    <row r="48" spans="1:3" ht="12.75">
      <c r="A48" s="15"/>
      <c r="B48" s="15"/>
      <c r="C48">
        <f t="shared" si="2"/>
      </c>
    </row>
    <row r="49" spans="1:3" ht="12.75">
      <c r="A49" s="15"/>
      <c r="B49" s="15"/>
      <c r="C49">
        <f t="shared" si="2"/>
      </c>
    </row>
    <row r="50" spans="1:3" ht="12.75">
      <c r="A50" s="15"/>
      <c r="B50" s="15"/>
      <c r="C50">
        <f t="shared" si="2"/>
      </c>
    </row>
    <row r="51" spans="1:3" ht="12.75">
      <c r="A51" s="15"/>
      <c r="B51" s="15"/>
      <c r="C51">
        <f t="shared" si="2"/>
      </c>
    </row>
    <row r="52" spans="1:3" ht="12.75">
      <c r="A52" s="15"/>
      <c r="B52" s="15"/>
      <c r="C52">
        <f t="shared" si="2"/>
      </c>
    </row>
    <row r="53" spans="1:3" ht="12.75">
      <c r="A53" s="15"/>
      <c r="B53" s="15"/>
      <c r="C53">
        <f t="shared" si="2"/>
      </c>
    </row>
    <row r="54" spans="1:3" ht="12.75">
      <c r="A54" s="15"/>
      <c r="B54" s="15"/>
      <c r="C54">
        <f t="shared" si="2"/>
      </c>
    </row>
  </sheetData>
  <mergeCells count="10">
    <mergeCell ref="A26:C26"/>
    <mergeCell ref="A1:M1"/>
    <mergeCell ref="A2:M2"/>
    <mergeCell ref="B5:E5"/>
    <mergeCell ref="F5:I5"/>
    <mergeCell ref="E32:F32"/>
    <mergeCell ref="E28:F28"/>
    <mergeCell ref="E29:F29"/>
    <mergeCell ref="E30:F30"/>
    <mergeCell ref="E31:F31"/>
  </mergeCells>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40"/>
  <sheetViews>
    <sheetView workbookViewId="0" topLeftCell="A1">
      <selection activeCell="A7" sqref="A7"/>
    </sheetView>
  </sheetViews>
  <sheetFormatPr defaultColWidth="11.421875" defaultRowHeight="12.75"/>
  <cols>
    <col min="1" max="1" width="24.28125" style="0" customWidth="1"/>
  </cols>
  <sheetData>
    <row r="1" spans="1:14" ht="12.75">
      <c r="A1" s="54" t="s">
        <v>113</v>
      </c>
      <c r="B1" s="54"/>
      <c r="C1" s="54"/>
      <c r="D1" s="54"/>
      <c r="E1" s="54"/>
      <c r="F1" s="54"/>
      <c r="G1" s="54"/>
      <c r="H1" s="54"/>
      <c r="I1" s="54"/>
      <c r="J1" s="54"/>
      <c r="K1" s="54"/>
      <c r="L1" s="54"/>
      <c r="M1" s="54"/>
      <c r="N1" s="54"/>
    </row>
    <row r="2" spans="1:14" ht="12.75">
      <c r="A2" s="54"/>
      <c r="B2" s="54"/>
      <c r="C2" s="54"/>
      <c r="D2" s="54"/>
      <c r="E2" s="54"/>
      <c r="F2" s="54"/>
      <c r="G2" s="54"/>
      <c r="H2" s="54"/>
      <c r="I2" s="54"/>
      <c r="J2" s="54"/>
      <c r="K2" s="54"/>
      <c r="L2" s="54"/>
      <c r="M2" s="54"/>
      <c r="N2" s="54"/>
    </row>
    <row r="3" spans="1:14" ht="12.75">
      <c r="A3" s="50" t="s">
        <v>114</v>
      </c>
      <c r="B3" s="50"/>
      <c r="C3" s="50"/>
      <c r="D3" s="50"/>
      <c r="E3" s="50"/>
      <c r="F3" s="50"/>
      <c r="G3" s="50"/>
      <c r="H3" s="50"/>
      <c r="I3" s="50"/>
      <c r="J3" s="50"/>
      <c r="K3" s="50"/>
      <c r="L3" s="50"/>
      <c r="M3" s="50"/>
      <c r="N3" s="50"/>
    </row>
    <row r="4" spans="1:14" ht="12.75">
      <c r="A4" s="54" t="s">
        <v>123</v>
      </c>
      <c r="B4" s="54"/>
      <c r="C4" s="54"/>
      <c r="D4" s="54"/>
      <c r="E4" s="54"/>
      <c r="F4" s="54"/>
      <c r="G4" s="54"/>
      <c r="H4" s="54"/>
      <c r="I4" s="54"/>
      <c r="J4" s="54"/>
      <c r="K4" s="54"/>
      <c r="L4" s="54"/>
      <c r="M4" s="54"/>
      <c r="N4" s="54"/>
    </row>
    <row r="5" spans="1:14" ht="12.75">
      <c r="A5" s="54"/>
      <c r="B5" s="54"/>
      <c r="C5" s="54"/>
      <c r="D5" s="54"/>
      <c r="E5" s="54"/>
      <c r="F5" s="54"/>
      <c r="G5" s="54"/>
      <c r="H5" s="54"/>
      <c r="I5" s="54"/>
      <c r="J5" s="54"/>
      <c r="K5" s="54"/>
      <c r="L5" s="54"/>
      <c r="M5" s="54"/>
      <c r="N5" s="54"/>
    </row>
    <row r="6" spans="1:14" ht="12.75">
      <c r="A6" s="50" t="s">
        <v>124</v>
      </c>
      <c r="B6" s="50"/>
      <c r="C6" s="50"/>
      <c r="D6" s="50"/>
      <c r="E6" s="50"/>
      <c r="F6" s="50"/>
      <c r="G6" s="50"/>
      <c r="H6" s="50"/>
      <c r="I6" s="50"/>
      <c r="J6" s="50"/>
      <c r="K6" s="50"/>
      <c r="L6" s="50"/>
      <c r="M6" s="50"/>
      <c r="N6" s="50"/>
    </row>
    <row r="7" ht="12.75">
      <c r="A7" s="5" t="str">
        <f>Ort1</f>
        <v>Hakos</v>
      </c>
    </row>
    <row r="8" spans="1:2" ht="12.75">
      <c r="A8" t="s">
        <v>36</v>
      </c>
      <c r="B8" s="34">
        <f>Datum</f>
        <v>42519</v>
      </c>
    </row>
    <row r="9" spans="1:2" ht="12.75">
      <c r="A9" t="s">
        <v>125</v>
      </c>
      <c r="B9" s="36">
        <f>Uhrzeit</f>
        <v>0.09027777777777778</v>
      </c>
    </row>
    <row r="10" spans="1:9" ht="12.75">
      <c r="A10" t="s">
        <v>8</v>
      </c>
      <c r="B10" s="12">
        <v>29.6</v>
      </c>
      <c r="C10" s="50" t="s">
        <v>128</v>
      </c>
      <c r="D10" s="50"/>
      <c r="E10" s="50"/>
      <c r="F10" s="50"/>
      <c r="G10" s="50"/>
      <c r="H10" s="50"/>
      <c r="I10" s="50"/>
    </row>
    <row r="12" spans="1:6" ht="12.75">
      <c r="A12" s="56" t="s">
        <v>40</v>
      </c>
      <c r="B12" s="56"/>
      <c r="C12" s="56"/>
      <c r="D12" s="56"/>
      <c r="E12" s="57" t="s">
        <v>41</v>
      </c>
      <c r="F12" s="57"/>
    </row>
    <row r="13" spans="1:6" ht="12.75">
      <c r="A13" s="16" t="s">
        <v>43</v>
      </c>
      <c r="B13" s="16" t="s">
        <v>13</v>
      </c>
      <c r="C13" s="16" t="s">
        <v>14</v>
      </c>
      <c r="D13" s="16" t="s">
        <v>15</v>
      </c>
      <c r="E13" t="s">
        <v>17</v>
      </c>
      <c r="F13" t="s">
        <v>18</v>
      </c>
    </row>
    <row r="14" spans="1:6" ht="12.75">
      <c r="A14" s="15" t="s">
        <v>99</v>
      </c>
      <c r="B14" s="15">
        <v>2362</v>
      </c>
      <c r="C14" s="15">
        <v>206</v>
      </c>
      <c r="D14" s="16">
        <f>IF(A14="","",SQRT((B14-xM)^2+(C14-yM)^2)*Massstab)</f>
        <v>7.425870373228985</v>
      </c>
      <c r="E14">
        <f>IF(A14="","",ATAN2(B14-xM,-C14+yM)/Grad)</f>
        <v>109.57690614971104</v>
      </c>
      <c r="F14">
        <f aca="true" t="shared" si="0" ref="F14:F20">IF(A14="","",ATAN($B$10/D14)/Grad)</f>
        <v>75.91663544761401</v>
      </c>
    </row>
    <row r="15" spans="1:6" ht="12.75">
      <c r="A15" s="15" t="s">
        <v>100</v>
      </c>
      <c r="B15" s="15">
        <v>2050</v>
      </c>
      <c r="C15" s="15">
        <v>2398</v>
      </c>
      <c r="D15" s="16">
        <f aca="true" t="shared" si="1" ref="D15:D20">IF(A15="","",SQRT((B15-xM)^2+(C15-yM)^2)*Massstab)</f>
        <v>4.017007572808395</v>
      </c>
      <c r="E15">
        <f aca="true" t="shared" si="2" ref="E15:E20">IF(A15="","",ATAN2(B15-xM,-C15+yM)/Grad)</f>
        <v>-157.26888125098048</v>
      </c>
      <c r="F15">
        <f t="shared" si="0"/>
        <v>82.27162013388391</v>
      </c>
    </row>
    <row r="16" spans="1:14" ht="12.75">
      <c r="A16" s="15" t="s">
        <v>10</v>
      </c>
      <c r="B16" s="15">
        <v>1856</v>
      </c>
      <c r="C16" s="15">
        <v>1392</v>
      </c>
      <c r="D16" s="16">
        <f t="shared" si="1"/>
        <v>5.052570039098914</v>
      </c>
      <c r="E16">
        <f t="shared" si="2"/>
        <v>152.0107615046762</v>
      </c>
      <c r="F16">
        <f t="shared" si="0"/>
        <v>80.31326074493661</v>
      </c>
      <c r="G16" s="55" t="s">
        <v>38</v>
      </c>
      <c r="H16" s="55"/>
      <c r="I16" s="55"/>
      <c r="J16" s="55"/>
      <c r="K16" s="55"/>
      <c r="L16" s="55"/>
      <c r="M16" s="10"/>
      <c r="N16" s="10"/>
    </row>
    <row r="17" spans="1:13" ht="12.75">
      <c r="A17" s="15" t="s">
        <v>101</v>
      </c>
      <c r="B17" s="15">
        <v>994</v>
      </c>
      <c r="C17" s="15">
        <v>1792</v>
      </c>
      <c r="D17" s="16">
        <f t="shared" si="1"/>
        <v>7.865343794138943</v>
      </c>
      <c r="E17">
        <f t="shared" si="2"/>
        <v>174.08021657019793</v>
      </c>
      <c r="F17">
        <f t="shared" si="0"/>
        <v>75.11917627066615</v>
      </c>
      <c r="G17" s="15">
        <v>22</v>
      </c>
      <c r="H17" s="15">
        <v>18</v>
      </c>
      <c r="I17" s="15">
        <v>42.21</v>
      </c>
      <c r="J17" s="15">
        <v>-9</v>
      </c>
      <c r="K17" s="15">
        <v>1</v>
      </c>
      <c r="L17" s="15">
        <v>40.26</v>
      </c>
      <c r="M17" s="5"/>
    </row>
    <row r="18" spans="1:6" ht="12.75">
      <c r="A18" s="15" t="s">
        <v>105</v>
      </c>
      <c r="B18" s="15">
        <v>2996</v>
      </c>
      <c r="C18" s="15">
        <v>2082</v>
      </c>
      <c r="D18" s="16">
        <f t="shared" si="1"/>
        <v>0.32018026172767117</v>
      </c>
      <c r="E18">
        <f t="shared" si="2"/>
        <v>-92.79270236571328</v>
      </c>
      <c r="F18">
        <f t="shared" si="0"/>
        <v>89.38026141068168</v>
      </c>
    </row>
    <row r="19" spans="1:6" ht="12.75">
      <c r="A19" s="15"/>
      <c r="B19" s="15"/>
      <c r="C19" s="15"/>
      <c r="D19" s="16">
        <f t="shared" si="1"/>
      </c>
      <c r="E19">
        <f t="shared" si="2"/>
      </c>
      <c r="F19">
        <f t="shared" si="0"/>
      </c>
    </row>
    <row r="20" spans="1:6" ht="12.75">
      <c r="A20" s="16"/>
      <c r="B20" s="16"/>
      <c r="C20" s="16"/>
      <c r="D20" s="16">
        <f t="shared" si="1"/>
      </c>
      <c r="E20">
        <f t="shared" si="2"/>
      </c>
      <c r="F20">
        <f t="shared" si="0"/>
      </c>
    </row>
    <row r="21" ht="12.75">
      <c r="A21" s="44" t="s">
        <v>115</v>
      </c>
    </row>
    <row r="22" spans="1:14" ht="12.75">
      <c r="A22" s="44"/>
      <c r="B22" s="15" t="s">
        <v>99</v>
      </c>
      <c r="C22" s="15" t="s">
        <v>105</v>
      </c>
      <c r="D22" s="50" t="s">
        <v>116</v>
      </c>
      <c r="E22" s="50"/>
      <c r="F22" s="50"/>
      <c r="G22" s="50"/>
      <c r="H22" s="50"/>
      <c r="I22" s="50"/>
      <c r="J22" s="50"/>
      <c r="K22" s="50"/>
      <c r="L22" s="50"/>
      <c r="M22" s="50"/>
      <c r="N22" s="50"/>
    </row>
    <row r="23" spans="1:14" ht="12.75">
      <c r="A23" s="24" t="s">
        <v>117</v>
      </c>
      <c r="B23" s="29">
        <f>ACOS(SIN(VLOOKUP("Mond",$A$14:$F$18,6)*Grad)*SIN(VLOOKUP(B22,$A$14:$F$18,6)*Grad)+COS(VLOOKUP("Mond",$A$14:$F$18,6)*Grad)*COS(VLOOKUP(B22,$A$14:$F$18,6)*Grad)*COS(VLOOKUP("Mond",$A$14:$F$18,5)*Grad-VLOOKUP(B22,$A$14:$F$18,5)*Grad))/Grad</f>
        <v>9.4837487282631</v>
      </c>
      <c r="C23" s="29">
        <f>ACOS(SIN(VLOOKUP("Mond",$A$14:$F$18,6)*Grad)*SIN(VLOOKUP(C22,$A$14:$F$18,6)*Grad)+COS(VLOOKUP("Mond",$A$14:$F$18,6)*Grad)*COS(VLOOKUP(C22,$A$14:$F$18,6)*Grad)*COS(VLOOKUP("Mond",$A$14:$F$18,5)*Grad-VLOOKUP(C22,$A$14:$F$18,5)*Grad))/Grad</f>
        <v>9.96621541887863</v>
      </c>
      <c r="D23" s="32"/>
      <c r="E23" s="32"/>
      <c r="F23" s="32"/>
      <c r="G23" s="32"/>
      <c r="H23" s="32"/>
      <c r="I23" s="32"/>
      <c r="J23" s="32"/>
      <c r="K23" s="32"/>
      <c r="L23" s="32"/>
      <c r="M23" s="32"/>
      <c r="N23" s="32"/>
    </row>
    <row r="24" spans="1:14" ht="12.75">
      <c r="A24" s="24"/>
      <c r="B24" s="16"/>
      <c r="C24" s="16"/>
      <c r="D24" s="32"/>
      <c r="E24" s="32"/>
      <c r="F24" s="32"/>
      <c r="G24" s="32"/>
      <c r="H24" s="32"/>
      <c r="I24" s="32"/>
      <c r="J24" s="32"/>
      <c r="K24" s="32"/>
      <c r="L24" s="32"/>
      <c r="M24" s="32"/>
      <c r="N24" s="32"/>
    </row>
    <row r="25" spans="2:3" ht="12.75">
      <c r="B25" s="7" t="s">
        <v>33</v>
      </c>
      <c r="C25" s="7" t="s">
        <v>34</v>
      </c>
    </row>
    <row r="26" spans="1:12" ht="12.75">
      <c r="A26" s="5" t="s">
        <v>35</v>
      </c>
      <c r="B26" s="33">
        <v>334.73369423818446</v>
      </c>
      <c r="C26" s="33">
        <v>-9.022816548344627</v>
      </c>
      <c r="D26" s="52" t="s">
        <v>118</v>
      </c>
      <c r="E26" s="52"/>
      <c r="F26" s="52"/>
      <c r="G26" s="52"/>
      <c r="H26" s="52"/>
      <c r="I26" s="52"/>
      <c r="J26" s="52"/>
      <c r="K26" s="52"/>
      <c r="L26" s="52"/>
    </row>
    <row r="27" spans="1:12" ht="12.75">
      <c r="A27" t="s">
        <v>39</v>
      </c>
      <c r="B27" s="9">
        <f>(G17+(H17+I17/60)/60)*15</f>
        <v>334.67587499999996</v>
      </c>
      <c r="C27" s="9">
        <f>IF(J17&gt;0,(K17+L17/60)/60+J17,-(K17+L17/60)/60+J17)</f>
        <v>-9.02785</v>
      </c>
      <c r="H27" s="2"/>
      <c r="L27" s="2"/>
    </row>
    <row r="29" spans="3:6" ht="12.75">
      <c r="C29" s="53" t="s">
        <v>119</v>
      </c>
      <c r="D29" s="53" t="s">
        <v>120</v>
      </c>
      <c r="E29" s="53" t="s">
        <v>121</v>
      </c>
      <c r="F29" s="53" t="s">
        <v>122</v>
      </c>
    </row>
    <row r="30" spans="1:6" ht="12.75">
      <c r="A30" s="51" t="s">
        <v>68</v>
      </c>
      <c r="B30" s="51"/>
      <c r="C30" s="53"/>
      <c r="D30" s="53"/>
      <c r="E30" s="53"/>
      <c r="F30" s="53"/>
    </row>
    <row r="31" spans="1:13" ht="12.75">
      <c r="A31" s="15" t="s">
        <v>99</v>
      </c>
      <c r="B31" s="15" t="s">
        <v>100</v>
      </c>
      <c r="C31">
        <f aca="true" t="shared" si="3" ref="C31:C40">IF(A31="","",ACOS(SIN(VLOOKUP(A31,$A$14:$F$19,6)*Grad)*SIN(VLOOKUP(B31,$A$14:$F$19,6)*Grad)+COS(VLOOKUP(A31,$A$14:$F$19,6)*Grad)*COS(VLOOKUP(B31,$A$14:$F$19,6)*Grad)*COS(VLOOKUP(A31,$A$14:$F$19,5)*Grad-VLOOKUP(B31,$A$14:$F$19,5)*Grad))/Grad)</f>
        <v>16.396359158640077</v>
      </c>
      <c r="D31">
        <f>IF(AND(A31&lt;&gt;"",A31&lt;&gt;"Mond",B31&lt;&gt;"Mond"),ACOS(SIN(VLOOKUP(A31,'Bezugssterne usw.'!$A$7:$I$24,9)*Grad)*SIN(VLOOKUP(B31,'Bezugssterne usw.'!$A$7:$I$24,9)*Grad)+COS(VLOOKUP(A31,'Bezugssterne usw.'!$A$7:$I$24,9)*Grad)*COS(VLOOKUP(B31,'Bezugssterne usw.'!$A$7:$I$24,9)*Grad)*COS(VLOOKUP(A31,'Bezugssterne usw.'!$A$7:$I$24,5)*Grad-VLOOKUP(B31,'Bezugssterne usw.'!$A$7:$I$24,5)*Grad))/Grad,"")</f>
        <v>18.161532056850827</v>
      </c>
      <c r="E31">
        <f>IF(AND(C31&lt;&gt;"",D31&lt;&gt;""),(C31-D31)^2,"")</f>
        <v>3.1158353605777385</v>
      </c>
      <c r="F31" s="13">
        <f>SUM(E31:E40)</f>
        <v>11.137460291117323</v>
      </c>
      <c r="M31" s="30"/>
    </row>
    <row r="32" spans="1:5" ht="12.75">
      <c r="A32" s="15" t="s">
        <v>99</v>
      </c>
      <c r="B32" s="15" t="s">
        <v>105</v>
      </c>
      <c r="C32">
        <f t="shared" si="3"/>
        <v>14.65832587242313</v>
      </c>
      <c r="D32">
        <f>IF(AND(A32&lt;&gt;"",A32&lt;&gt;"Mond",B32&lt;&gt;"Mond"),ACOS(SIN(VLOOKUP(A32,'Bezugssterne usw.'!$A$7:$I$24,9)*Grad)*SIN(VLOOKUP(B32,'Bezugssterne usw.'!$A$7:$I$24,9)*Grad)+COS(VLOOKUP(A32,'Bezugssterne usw.'!$A$7:$I$24,9)*Grad)*COS(VLOOKUP(B32,'Bezugssterne usw.'!$A$7:$I$24,9)*Grad)*COS(VLOOKUP(A32,'Bezugssterne usw.'!$A$7:$I$24,5)*Grad-VLOOKUP(B32,'Bezugssterne usw.'!$A$7:$I$24,5)*Grad))/Grad,"")</f>
        <v>16.246603743992345</v>
      </c>
      <c r="E32">
        <f aca="true" t="shared" si="4" ref="E32:E40">IF(AND(C32&lt;&gt;"",D32&lt;&gt;""),(C32-D32)^2,"")</f>
        <v>2.522626597316435</v>
      </c>
    </row>
    <row r="33" spans="1:5" ht="12.75">
      <c r="A33" s="15" t="s">
        <v>99</v>
      </c>
      <c r="B33" s="15" t="s">
        <v>101</v>
      </c>
      <c r="C33">
        <f t="shared" si="3"/>
        <v>15.353121481956155</v>
      </c>
      <c r="D33">
        <f>IF(AND(A33&lt;&gt;"",A33&lt;&gt;"Mond",B33&lt;&gt;"Mond"),ACOS(SIN(VLOOKUP(A33,'Bezugssterne usw.'!$A$7:$I$24,9)*Grad)*SIN(VLOOKUP(B33,'Bezugssterne usw.'!$A$7:$I$24,9)*Grad)+COS(VLOOKUP(A33,'Bezugssterne usw.'!$A$7:$I$24,9)*Grad)*COS(VLOOKUP(B33,'Bezugssterne usw.'!$A$7:$I$24,9)*Grad)*COS(VLOOKUP(A33,'Bezugssterne usw.'!$A$7:$I$24,5)*Grad-VLOOKUP(B33,'Bezugssterne usw.'!$A$7:$I$24,5)*Grad))/Grad,"")</f>
        <v>17.029797458534368</v>
      </c>
      <c r="E33">
        <f t="shared" si="4"/>
        <v>2.8112423304345056</v>
      </c>
    </row>
    <row r="34" spans="1:5" ht="12.75">
      <c r="A34" s="15" t="s">
        <v>101</v>
      </c>
      <c r="B34" s="15" t="s">
        <v>105</v>
      </c>
      <c r="C34">
        <f t="shared" si="3"/>
        <v>14.927173199047182</v>
      </c>
      <c r="D34">
        <f>IF(AND(A34&lt;&gt;"",A34&lt;&gt;"Mond",B34&lt;&gt;"Mond"),ACOS(SIN(VLOOKUP(A34,'Bezugssterne usw.'!$A$7:$I$24,9)*Grad)*SIN(VLOOKUP(B34,'Bezugssterne usw.'!$A$7:$I$24,9)*Grad)+COS(VLOOKUP(A34,'Bezugssterne usw.'!$A$7:$I$24,9)*Grad)*COS(VLOOKUP(B34,'Bezugssterne usw.'!$A$7:$I$24,9)*Grad)*COS(VLOOKUP(A34,'Bezugssterne usw.'!$A$7:$I$24,5)*Grad-VLOOKUP(B34,'Bezugssterne usw.'!$A$7:$I$24,5)*Grad))/Grad,"")</f>
        <v>16.566610908381893</v>
      </c>
      <c r="E34">
        <f t="shared" si="4"/>
        <v>2.6877560027886442</v>
      </c>
    </row>
    <row r="35" spans="1:5" ht="12.75">
      <c r="A35" s="15" t="s">
        <v>10</v>
      </c>
      <c r="B35" s="15" t="s">
        <v>99</v>
      </c>
      <c r="C35">
        <f t="shared" si="3"/>
        <v>9.4837487282631</v>
      </c>
      <c r="D35">
        <f>IF(AND(A35&lt;&gt;"",A35&lt;&gt;"Mond",B35&lt;&gt;"Mond"),ACOS(SIN(VLOOKUP(A35,'Bezugssterne usw.'!$A$7:$I$24,9)*Grad)*SIN(VLOOKUP(B35,'Bezugssterne usw.'!$A$7:$I$24,9)*Grad)+COS(VLOOKUP(A35,'Bezugssterne usw.'!$A$7:$I$24,9)*Grad)*COS(VLOOKUP(B35,'Bezugssterne usw.'!$A$7:$I$24,9)*Grad)*COS(VLOOKUP(A35,'Bezugssterne usw.'!$A$7:$I$24,5)*Grad-VLOOKUP(B35,'Bezugssterne usw.'!$A$7:$I$24,5)*Grad))/Grad,"")</f>
      </c>
      <c r="E35">
        <f t="shared" si="4"/>
      </c>
    </row>
    <row r="36" spans="1:5" ht="12.75">
      <c r="A36" s="15" t="s">
        <v>10</v>
      </c>
      <c r="B36" s="15" t="s">
        <v>100</v>
      </c>
      <c r="C36">
        <f t="shared" si="3"/>
        <v>7.6438139407646375</v>
      </c>
      <c r="D36">
        <f>IF(AND(A36&lt;&gt;"",A36&lt;&gt;"Mond",B36&lt;&gt;"Mond"),ACOS(SIN(VLOOKUP(A36,'Bezugssterne usw.'!$A$7:$I$24,9)*Grad)*SIN(VLOOKUP(B36,'Bezugssterne usw.'!$A$7:$I$24,9)*Grad)+COS(VLOOKUP(A36,'Bezugssterne usw.'!$A$7:$I$24,9)*Grad)*COS(VLOOKUP(B36,'Bezugssterne usw.'!$A$7:$I$24,9)*Grad)*COS(VLOOKUP(A36,'Bezugssterne usw.'!$A$7:$I$24,5)*Grad-VLOOKUP(B36,'Bezugssterne usw.'!$A$7:$I$24,5)*Grad))/Grad,"")</f>
      </c>
      <c r="E36">
        <f t="shared" si="4"/>
      </c>
    </row>
    <row r="37" spans="1:5" ht="12.75">
      <c r="A37" s="15" t="s">
        <v>10</v>
      </c>
      <c r="B37" s="15" t="s">
        <v>101</v>
      </c>
      <c r="C37">
        <f t="shared" si="3"/>
        <v>6.914152856368148</v>
      </c>
      <c r="D37">
        <f>IF(AND(A37&lt;&gt;"",A37&lt;&gt;"Mond",B37&lt;&gt;"Mond"),ACOS(SIN(VLOOKUP(A37,'Bezugssterne usw.'!$A$7:$I$24,9)*Grad)*SIN(VLOOKUP(B37,'Bezugssterne usw.'!$A$7:$I$24,9)*Grad)+COS(VLOOKUP(A37,'Bezugssterne usw.'!$A$7:$I$24,9)*Grad)*COS(VLOOKUP(B37,'Bezugssterne usw.'!$A$7:$I$24,9)*Grad)*COS(VLOOKUP(A37,'Bezugssterne usw.'!$A$7:$I$24,5)*Grad-VLOOKUP(B37,'Bezugssterne usw.'!$A$7:$I$24,5)*Grad))/Grad,"")</f>
      </c>
      <c r="E37">
        <f t="shared" si="4"/>
      </c>
    </row>
    <row r="38" spans="1:5" ht="12.75">
      <c r="A38" s="15" t="s">
        <v>10</v>
      </c>
      <c r="B38" s="15" t="s">
        <v>105</v>
      </c>
      <c r="C38">
        <f t="shared" si="3"/>
        <v>9.96621541887863</v>
      </c>
      <c r="D38">
        <f>IF(AND(A38&lt;&gt;"",A38&lt;&gt;"Mond",B38&lt;&gt;"Mond"),ACOS(SIN(VLOOKUP(A38,'Bezugssterne usw.'!$A$7:$I$24,9)*Grad)*SIN(VLOOKUP(B38,'Bezugssterne usw.'!$A$7:$I$24,9)*Grad)+COS(VLOOKUP(A38,'Bezugssterne usw.'!$A$7:$I$24,9)*Grad)*COS(VLOOKUP(B38,'Bezugssterne usw.'!$A$7:$I$24,9)*Grad)*COS(VLOOKUP(A38,'Bezugssterne usw.'!$A$7:$I$24,5)*Grad-VLOOKUP(B38,'Bezugssterne usw.'!$A$7:$I$24,5)*Grad))/Grad,"")</f>
      </c>
      <c r="E38">
        <f t="shared" si="4"/>
      </c>
    </row>
    <row r="39" spans="1:5" ht="12.75">
      <c r="A39" s="15"/>
      <c r="B39" s="15"/>
      <c r="C39">
        <f t="shared" si="3"/>
      </c>
      <c r="D39">
        <f>IF(AND(A39&lt;&gt;"",A39&lt;&gt;"Mond",B39&lt;&gt;"Mond"),ACOS(SIN(VLOOKUP(A39,'Bezugssterne usw.'!$A$7:$I$24,9)*Grad)*SIN(VLOOKUP(B39,'Bezugssterne usw.'!$A$7:$I$24,9)*Grad)+COS(VLOOKUP(A39,'Bezugssterne usw.'!$A$7:$I$24,9)*Grad)*COS(VLOOKUP(B39,'Bezugssterne usw.'!$A$7:$I$24,9)*Grad)*COS(VLOOKUP(A39,'Bezugssterne usw.'!$A$7:$I$24,5)*Grad-VLOOKUP(B39,'Bezugssterne usw.'!$A$7:$I$24,5)*Grad))/Grad,"")</f>
      </c>
      <c r="E39">
        <f t="shared" si="4"/>
      </c>
    </row>
    <row r="40" spans="1:5" ht="12.75">
      <c r="A40" s="15"/>
      <c r="B40" s="15"/>
      <c r="C40">
        <f t="shared" si="3"/>
      </c>
      <c r="D40">
        <f>IF(AND(A40&lt;&gt;"",A40&lt;&gt;"Mond",B40&lt;&gt;"Mond"),ACOS(SIN(VLOOKUP(A40,'Bezugssterne usw.'!$A$7:$I$24,9)*Grad)*SIN(VLOOKUP(B40,'Bezugssterne usw.'!$A$7:$I$24,9)*Grad)+COS(VLOOKUP(A40,'Bezugssterne usw.'!$A$7:$I$24,9)*Grad)*COS(VLOOKUP(B40,'Bezugssterne usw.'!$A$7:$I$24,9)*Grad)*COS(VLOOKUP(A40,'Bezugssterne usw.'!$A$7:$I$24,5)*Grad-VLOOKUP(B40,'Bezugssterne usw.'!$A$7:$I$24,5)*Grad))/Grad,"")</f>
      </c>
      <c r="E40">
        <f t="shared" si="4"/>
      </c>
    </row>
  </sheetData>
  <mergeCells count="16">
    <mergeCell ref="A1:N2"/>
    <mergeCell ref="A3:N3"/>
    <mergeCell ref="A21:A22"/>
    <mergeCell ref="D22:N22"/>
    <mergeCell ref="A4:N5"/>
    <mergeCell ref="A6:N6"/>
    <mergeCell ref="G16:L16"/>
    <mergeCell ref="A12:D12"/>
    <mergeCell ref="E12:F12"/>
    <mergeCell ref="C10:I10"/>
    <mergeCell ref="A30:B30"/>
    <mergeCell ref="D26:L26"/>
    <mergeCell ref="C29:C30"/>
    <mergeCell ref="D29:D30"/>
    <mergeCell ref="E29:E30"/>
    <mergeCell ref="F29:F30"/>
  </mergeCells>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40"/>
  <sheetViews>
    <sheetView workbookViewId="0" topLeftCell="A1">
      <selection activeCell="B26" sqref="B26:C26"/>
    </sheetView>
  </sheetViews>
  <sheetFormatPr defaultColWidth="11.421875" defaultRowHeight="12.75"/>
  <cols>
    <col min="1" max="1" width="25.28125" style="0" customWidth="1"/>
  </cols>
  <sheetData>
    <row r="1" spans="1:14" ht="12.75">
      <c r="A1" s="54" t="s">
        <v>113</v>
      </c>
      <c r="B1" s="54"/>
      <c r="C1" s="54"/>
      <c r="D1" s="54"/>
      <c r="E1" s="54"/>
      <c r="F1" s="54"/>
      <c r="G1" s="54"/>
      <c r="H1" s="54"/>
      <c r="I1" s="54"/>
      <c r="J1" s="54"/>
      <c r="K1" s="54"/>
      <c r="L1" s="54"/>
      <c r="M1" s="54"/>
      <c r="N1" s="54"/>
    </row>
    <row r="2" spans="1:14" ht="12.75">
      <c r="A2" s="54"/>
      <c r="B2" s="54"/>
      <c r="C2" s="54"/>
      <c r="D2" s="54"/>
      <c r="E2" s="54"/>
      <c r="F2" s="54"/>
      <c r="G2" s="54"/>
      <c r="H2" s="54"/>
      <c r="I2" s="54"/>
      <c r="J2" s="54"/>
      <c r="K2" s="54"/>
      <c r="L2" s="54"/>
      <c r="M2" s="54"/>
      <c r="N2" s="54"/>
    </row>
    <row r="3" spans="1:14" ht="12.75">
      <c r="A3" s="50" t="s">
        <v>114</v>
      </c>
      <c r="B3" s="50"/>
      <c r="C3" s="50"/>
      <c r="D3" s="50"/>
      <c r="E3" s="50"/>
      <c r="F3" s="50"/>
      <c r="G3" s="50"/>
      <c r="H3" s="50"/>
      <c r="I3" s="50"/>
      <c r="J3" s="50"/>
      <c r="K3" s="50"/>
      <c r="L3" s="50"/>
      <c r="M3" s="50"/>
      <c r="N3" s="50"/>
    </row>
    <row r="4" spans="1:14" ht="12.75">
      <c r="A4" s="54" t="s">
        <v>123</v>
      </c>
      <c r="B4" s="54"/>
      <c r="C4" s="54"/>
      <c r="D4" s="54"/>
      <c r="E4" s="54"/>
      <c r="F4" s="54"/>
      <c r="G4" s="54"/>
      <c r="H4" s="54"/>
      <c r="I4" s="54"/>
      <c r="J4" s="54"/>
      <c r="K4" s="54"/>
      <c r="L4" s="54"/>
      <c r="M4" s="54"/>
      <c r="N4" s="54"/>
    </row>
    <row r="5" spans="1:14" ht="12.75">
      <c r="A5" s="54"/>
      <c r="B5" s="54"/>
      <c r="C5" s="54"/>
      <c r="D5" s="54"/>
      <c r="E5" s="54"/>
      <c r="F5" s="54"/>
      <c r="G5" s="54"/>
      <c r="H5" s="54"/>
      <c r="I5" s="54"/>
      <c r="J5" s="54"/>
      <c r="K5" s="54"/>
      <c r="L5" s="54"/>
      <c r="M5" s="54"/>
      <c r="N5" s="54"/>
    </row>
    <row r="6" spans="1:14" ht="12.75">
      <c r="A6" s="50" t="s">
        <v>124</v>
      </c>
      <c r="B6" s="50"/>
      <c r="C6" s="50"/>
      <c r="D6" s="50"/>
      <c r="E6" s="50"/>
      <c r="F6" s="50"/>
      <c r="G6" s="50"/>
      <c r="H6" s="50"/>
      <c r="I6" s="50"/>
      <c r="J6" s="50"/>
      <c r="K6" s="50"/>
      <c r="L6" s="50"/>
      <c r="M6" s="50"/>
      <c r="N6" s="50"/>
    </row>
    <row r="7" ht="12.75">
      <c r="A7" s="5" t="str">
        <f>Ort2</f>
        <v>Bochum</v>
      </c>
    </row>
    <row r="8" spans="1:2" ht="12.75">
      <c r="A8" t="s">
        <v>36</v>
      </c>
      <c r="B8" s="34">
        <f>Datum</f>
        <v>42519</v>
      </c>
    </row>
    <row r="9" spans="1:2" ht="12.75">
      <c r="A9" t="s">
        <v>125</v>
      </c>
      <c r="B9" s="36">
        <f>Uhrzeit</f>
        <v>0.09027777777777778</v>
      </c>
    </row>
    <row r="10" spans="1:9" ht="12.75">
      <c r="A10" t="s">
        <v>8</v>
      </c>
      <c r="B10" s="14">
        <v>38.66</v>
      </c>
      <c r="C10" s="50" t="s">
        <v>128</v>
      </c>
      <c r="D10" s="50"/>
      <c r="E10" s="50"/>
      <c r="F10" s="50"/>
      <c r="G10" s="50"/>
      <c r="H10" s="50"/>
      <c r="I10" s="50"/>
    </row>
    <row r="12" spans="1:6" ht="12.75">
      <c r="A12" s="56" t="s">
        <v>40</v>
      </c>
      <c r="B12" s="56"/>
      <c r="C12" s="56"/>
      <c r="D12" s="56"/>
      <c r="E12" s="57" t="s">
        <v>41</v>
      </c>
      <c r="F12" s="57"/>
    </row>
    <row r="13" spans="1:6" ht="12.75">
      <c r="A13" s="16" t="s">
        <v>43</v>
      </c>
      <c r="B13" s="16" t="s">
        <v>13</v>
      </c>
      <c r="C13" s="16" t="s">
        <v>14</v>
      </c>
      <c r="D13" s="16" t="s">
        <v>15</v>
      </c>
      <c r="E13" t="s">
        <v>17</v>
      </c>
      <c r="F13" t="s">
        <v>18</v>
      </c>
    </row>
    <row r="14" spans="1:6" ht="12.75">
      <c r="A14" s="15" t="s">
        <v>99</v>
      </c>
      <c r="B14" s="15">
        <v>4491</v>
      </c>
      <c r="C14" s="15">
        <v>2458</v>
      </c>
      <c r="D14" s="16">
        <f aca="true" t="shared" si="0" ref="D14:D19">IF(A14="","",SQRT((B14-xM)^2+(C14-yM)^2)*Massstab)</f>
        <v>6.083056176791399</v>
      </c>
      <c r="E14">
        <f aca="true" t="shared" si="1" ref="E14:E19">IF(A14="","",ATAN2(B14-xM,-C14+yM)/Grad)</f>
        <v>-17.075721768830988</v>
      </c>
      <c r="F14">
        <f aca="true" t="shared" si="2" ref="F14:F19">IF(A14="","",ATAN($B$10/D14)/Grad)</f>
        <v>81.05796500723385</v>
      </c>
    </row>
    <row r="15" spans="1:6" ht="12.75">
      <c r="A15" s="15" t="s">
        <v>100</v>
      </c>
      <c r="B15" s="15">
        <v>1316</v>
      </c>
      <c r="C15" s="15">
        <v>2510</v>
      </c>
      <c r="D15" s="16">
        <f t="shared" si="0"/>
        <v>6.862178280983379</v>
      </c>
      <c r="E15">
        <f t="shared" si="1"/>
        <v>-163.15104476123625</v>
      </c>
      <c r="F15">
        <f t="shared" si="2"/>
        <v>79.93479001382076</v>
      </c>
    </row>
    <row r="16" spans="1:12" ht="12.75">
      <c r="A16" s="15" t="s">
        <v>10</v>
      </c>
      <c r="B16" s="15">
        <v>2821</v>
      </c>
      <c r="C16" s="15">
        <v>2172</v>
      </c>
      <c r="D16" s="16">
        <f t="shared" si="0"/>
        <v>0.9681509438099</v>
      </c>
      <c r="E16">
        <f t="shared" si="1"/>
        <v>-136.1424994230443</v>
      </c>
      <c r="F16">
        <f t="shared" si="2"/>
        <v>88.56545857712716</v>
      </c>
      <c r="G16" s="55" t="s">
        <v>38</v>
      </c>
      <c r="H16" s="55"/>
      <c r="I16" s="55"/>
      <c r="J16" s="55"/>
      <c r="K16" s="55"/>
      <c r="L16" s="55"/>
    </row>
    <row r="17" spans="1:12" ht="12.75">
      <c r="A17" s="15" t="s">
        <v>101</v>
      </c>
      <c r="B17" s="15">
        <v>1959</v>
      </c>
      <c r="C17" s="15">
        <v>904</v>
      </c>
      <c r="D17" s="16">
        <f t="shared" si="0"/>
        <v>5.895191546506355</v>
      </c>
      <c r="E17">
        <f t="shared" si="1"/>
        <v>133.52570315579453</v>
      </c>
      <c r="F17">
        <f t="shared" si="2"/>
        <v>81.32986255306218</v>
      </c>
      <c r="G17" s="15">
        <v>22</v>
      </c>
      <c r="H17" s="15">
        <v>18</v>
      </c>
      <c r="I17" s="15">
        <v>14.86</v>
      </c>
      <c r="J17" s="15">
        <v>-10</v>
      </c>
      <c r="K17" s="15">
        <v>6</v>
      </c>
      <c r="L17" s="15">
        <v>44.42</v>
      </c>
    </row>
    <row r="18" spans="1:6" ht="12.75">
      <c r="A18" s="15" t="s">
        <v>103</v>
      </c>
      <c r="B18" s="15">
        <v>4238</v>
      </c>
      <c r="C18" s="15">
        <v>509</v>
      </c>
      <c r="D18" s="16">
        <f t="shared" si="0"/>
        <v>7.558080262209446</v>
      </c>
      <c r="E18">
        <f t="shared" si="1"/>
        <v>50.29663453709531</v>
      </c>
      <c r="F18">
        <f t="shared" si="2"/>
        <v>78.93812338405314</v>
      </c>
    </row>
    <row r="19" spans="1:6" ht="12.75">
      <c r="A19" s="15"/>
      <c r="B19" s="15"/>
      <c r="C19" s="15"/>
      <c r="D19" s="16">
        <f t="shared" si="0"/>
      </c>
      <c r="E19">
        <f t="shared" si="1"/>
      </c>
      <c r="F19">
        <f t="shared" si="2"/>
      </c>
    </row>
    <row r="21" ht="12.75">
      <c r="A21" s="44" t="s">
        <v>115</v>
      </c>
    </row>
    <row r="22" spans="1:14" ht="12.75">
      <c r="A22" s="44"/>
      <c r="B22" s="15" t="s">
        <v>99</v>
      </c>
      <c r="C22" s="15" t="s">
        <v>103</v>
      </c>
      <c r="D22" s="50" t="s">
        <v>116</v>
      </c>
      <c r="E22" s="50"/>
      <c r="F22" s="50"/>
      <c r="G22" s="50"/>
      <c r="H22" s="50"/>
      <c r="I22" s="50"/>
      <c r="J22" s="50"/>
      <c r="K22" s="50"/>
      <c r="L22" s="50"/>
      <c r="M22" s="50"/>
      <c r="N22" s="50"/>
    </row>
    <row r="23" spans="1:14" ht="12.75">
      <c r="A23" s="24" t="s">
        <v>117</v>
      </c>
      <c r="B23" s="29">
        <f>ACOS(SIN(VLOOKUP("Mond",$A$14:$F$18,6)*Grad)*SIN(VLOOKUP(B22,$A$14:$F$18,6)*Grad)+COS(VLOOKUP("Mond",$A$14:$F$18,6)*Grad)*COS(VLOOKUP(B22,$A$14:$F$18,6)*Grad)*COS(VLOOKUP("Mond",$A$14:$F$18,5)*Grad-VLOOKUP(B22,$A$14:$F$18,5)*Grad))/Grad</f>
        <v>9.7195295092917</v>
      </c>
      <c r="C23" s="29">
        <f>ACOS(SIN(VLOOKUP("Mond",$A$14:$F$18,6)*Grad)*SIN(VLOOKUP(C22,$A$14:$F$18,6)*Grad)+COS(VLOOKUP("Mond",$A$14:$F$18,6)*Grad)*COS(VLOOKUP(C22,$A$14:$F$18,6)*Grad)*COS(VLOOKUP("Mond",$A$14:$F$18,5)*Grad-VLOOKUP(C22,$A$14:$F$18,5)*Grad))/Grad</f>
        <v>12.488391689869154</v>
      </c>
      <c r="D23" s="32"/>
      <c r="E23" s="32"/>
      <c r="F23" s="32"/>
      <c r="G23" s="32"/>
      <c r="H23" s="32"/>
      <c r="I23" s="32"/>
      <c r="J23" s="32"/>
      <c r="K23" s="32"/>
      <c r="L23" s="32"/>
      <c r="M23" s="32"/>
      <c r="N23" s="32"/>
    </row>
    <row r="25" spans="2:3" ht="12.75">
      <c r="B25" s="7" t="s">
        <v>33</v>
      </c>
      <c r="C25" s="7" t="s">
        <v>34</v>
      </c>
    </row>
    <row r="26" spans="1:3" ht="12.75">
      <c r="A26" s="5" t="s">
        <v>35</v>
      </c>
      <c r="B26" s="6">
        <v>334.62649631786564</v>
      </c>
      <c r="C26" s="6">
        <v>-10.1393934456193</v>
      </c>
    </row>
    <row r="27" spans="1:12" ht="12.75">
      <c r="A27" t="s">
        <v>39</v>
      </c>
      <c r="B27" s="9">
        <f>(G17+(H17+I17/60)/60)*15</f>
        <v>334.56191666666666</v>
      </c>
      <c r="C27" s="9">
        <f>IF(J17&gt;0,(K17+L17/60)/60+J17,-(K17+L17/60)/60+J17)</f>
        <v>-10.112338888888889</v>
      </c>
      <c r="H27" s="2"/>
      <c r="L27" s="2"/>
    </row>
    <row r="28" ht="12.75">
      <c r="C28" s="4"/>
    </row>
    <row r="29" spans="3:6" ht="12.75">
      <c r="C29" s="53" t="s">
        <v>119</v>
      </c>
      <c r="D29" s="53" t="s">
        <v>120</v>
      </c>
      <c r="E29" s="53" t="s">
        <v>121</v>
      </c>
      <c r="F29" s="53" t="s">
        <v>122</v>
      </c>
    </row>
    <row r="30" spans="1:6" ht="12.75">
      <c r="A30" s="51" t="s">
        <v>68</v>
      </c>
      <c r="B30" s="51"/>
      <c r="C30" s="53"/>
      <c r="D30" s="53"/>
      <c r="E30" s="53"/>
      <c r="F30" s="53"/>
    </row>
    <row r="31" spans="1:6" ht="12.75">
      <c r="A31" s="15" t="s">
        <v>99</v>
      </c>
      <c r="B31" s="15" t="s">
        <v>100</v>
      </c>
      <c r="C31">
        <f>IF(A31="","",ACOS(SIN(VLOOKUP(A31,$A$14:$F$19,6)*Grad)*SIN(VLOOKUP(B31,$A$14:$F$19,6)*Grad)+COS(VLOOKUP(A31,$A$14:$F$19,6)*Grad)*COS(VLOOKUP(B31,$A$14:$F$19,6)*Grad)*COS(VLOOKUP(A31,$A$14:$F$19,5)*Grad-VLOOKUP(B31,$A$14:$F$19,5)*Grad))/Grad)</f>
        <v>18.176204780637672</v>
      </c>
      <c r="D31">
        <f>IF(AND(A31&lt;&gt;"",A31&lt;&gt;"Mond",B31&lt;&gt;"Mond"),ACOS(SIN(VLOOKUP(A31,'Bezugssterne usw.'!$A$7:$I$24,9)*Grad)*SIN(VLOOKUP(B31,'Bezugssterne usw.'!$A$7:$I$24,9)*Grad)+COS(VLOOKUP(A31,'Bezugssterne usw.'!$A$7:$I$24,9)*Grad)*COS(VLOOKUP(B31,'Bezugssterne usw.'!$A$7:$I$24,9)*Grad)*COS(VLOOKUP(A31,'Bezugssterne usw.'!$A$7:$I$24,5)*Grad-VLOOKUP(B31,'Bezugssterne usw.'!$A$7:$I$24,5)*Grad))/Grad,"")</f>
        <v>18.161532056850827</v>
      </c>
      <c r="E31">
        <f>IF(AND(C31&lt;&gt;"",D31&lt;&gt;""),(C31-D31)^2,"")</f>
        <v>0.00021528882332503825</v>
      </c>
      <c r="F31" s="13">
        <f>SUM(E31:E40)</f>
        <v>0.0007330508762711676</v>
      </c>
    </row>
    <row r="32" spans="1:5" ht="12.75">
      <c r="A32" s="15" t="s">
        <v>99</v>
      </c>
      <c r="B32" s="15" t="s">
        <v>101</v>
      </c>
      <c r="C32">
        <f aca="true" t="shared" si="3" ref="C32:C40">IF(A32="","",ACOS(SIN(VLOOKUP(A32,$A$14:$F$19,6)*Grad)*SIN(VLOOKUP(B32,$A$14:$F$19,6)*Grad)+COS(VLOOKUP(A32,$A$14:$F$19,6)*Grad)*COS(VLOOKUP(B32,$A$14:$F$19,6)*Grad)*COS(VLOOKUP(A32,$A$14:$F$19,5)*Grad-VLOOKUP(B32,$A$14:$F$19,5)*Grad))/Grad)</f>
        <v>17.03152721673786</v>
      </c>
      <c r="D32">
        <f>IF(AND(A32&lt;&gt;"",A32&lt;&gt;"Mond",B32&lt;&gt;"Mond"),ACOS(SIN(VLOOKUP(A32,'Bezugssterne usw.'!$A$7:$I$24,9)*Grad)*SIN(VLOOKUP(B32,'Bezugssterne usw.'!$A$7:$I$24,9)*Grad)+COS(VLOOKUP(A32,'Bezugssterne usw.'!$A$7:$I$24,9)*Grad)*COS(VLOOKUP(B32,'Bezugssterne usw.'!$A$7:$I$24,9)*Grad)*COS(VLOOKUP(A32,'Bezugssterne usw.'!$A$7:$I$24,5)*Grad-VLOOKUP(B32,'Bezugssterne usw.'!$A$7:$I$24,5)*Grad))/Grad,"")</f>
        <v>17.029797458534368</v>
      </c>
      <c r="E32">
        <f aca="true" t="shared" si="4" ref="E32:E40">IF(AND(C32&lt;&gt;"",D32&lt;&gt;""),(C32-D32)^2,"")</f>
        <v>2.9920634425481555E-06</v>
      </c>
    </row>
    <row r="33" spans="1:5" ht="12.75">
      <c r="A33" s="15" t="s">
        <v>99</v>
      </c>
      <c r="B33" s="15" t="s">
        <v>103</v>
      </c>
      <c r="C33">
        <f t="shared" si="3"/>
        <v>11.196608599530792</v>
      </c>
      <c r="D33">
        <f>IF(AND(A33&lt;&gt;"",A33&lt;&gt;"Mond",B33&lt;&gt;"Mond"),ACOS(SIN(VLOOKUP(A33,'Bezugssterne usw.'!$A$7:$I$24,9)*Grad)*SIN(VLOOKUP(B33,'Bezugssterne usw.'!$A$7:$I$24,9)*Grad)+COS(VLOOKUP(A33,'Bezugssterne usw.'!$A$7:$I$24,9)*Grad)*COS(VLOOKUP(B33,'Bezugssterne usw.'!$A$7:$I$24,9)*Grad)*COS(VLOOKUP(A33,'Bezugssterne usw.'!$A$7:$I$24,5)*Grad-VLOOKUP(B33,'Bezugssterne usw.'!$A$7:$I$24,5)*Grad))/Grad,"")</f>
        <v>11.219297142663915</v>
      </c>
      <c r="E33">
        <f t="shared" si="4"/>
        <v>0.0005147699895035812</v>
      </c>
    </row>
    <row r="34" spans="1:5" ht="12.75">
      <c r="A34" s="15" t="s">
        <v>10</v>
      </c>
      <c r="B34" s="15" t="s">
        <v>99</v>
      </c>
      <c r="C34">
        <f t="shared" si="3"/>
        <v>9.7195295092917</v>
      </c>
      <c r="D34">
        <f>IF(AND(A34&lt;&gt;"",A34&lt;&gt;"Mond",B34&lt;&gt;"Mond"),ACOS(SIN(VLOOKUP(A34,'Bezugssterne usw.'!$A$7:$I$24,9)*Grad)*SIN(VLOOKUP(B34,'Bezugssterne usw.'!$A$7:$I$24,9)*Grad)+COS(VLOOKUP(A34,'Bezugssterne usw.'!$A$7:$I$24,9)*Grad)*COS(VLOOKUP(B34,'Bezugssterne usw.'!$A$7:$I$24,9)*Grad)*COS(VLOOKUP(A34,'Bezugssterne usw.'!$A$7:$I$24,5)*Grad-VLOOKUP(B34,'Bezugssterne usw.'!$A$7:$I$24,5)*Grad))/Grad,"")</f>
      </c>
      <c r="E34">
        <f t="shared" si="4"/>
      </c>
    </row>
    <row r="35" spans="1:5" ht="12.75">
      <c r="A35" s="15" t="s">
        <v>10</v>
      </c>
      <c r="B35" s="15" t="s">
        <v>99</v>
      </c>
      <c r="C35">
        <f t="shared" si="3"/>
        <v>9.7195295092917</v>
      </c>
      <c r="D35">
        <f>IF(AND(A35&lt;&gt;"",A35&lt;&gt;"Mond",B35&lt;&gt;"Mond"),ACOS(SIN(VLOOKUP(A35,'Bezugssterne usw.'!$A$7:$I$24,9)*Grad)*SIN(VLOOKUP(B35,'Bezugssterne usw.'!$A$7:$I$24,9)*Grad)+COS(VLOOKUP(A35,'Bezugssterne usw.'!$A$7:$I$24,9)*Grad)*COS(VLOOKUP(B35,'Bezugssterne usw.'!$A$7:$I$24,9)*Grad)*COS(VLOOKUP(A35,'Bezugssterne usw.'!$A$7:$I$24,5)*Grad-VLOOKUP(B35,'Bezugssterne usw.'!$A$7:$I$24,5)*Grad))/Grad,"")</f>
      </c>
      <c r="E35">
        <f t="shared" si="4"/>
      </c>
    </row>
    <row r="36" spans="1:5" ht="12.75">
      <c r="A36" s="15" t="s">
        <v>10</v>
      </c>
      <c r="B36" s="15" t="s">
        <v>101</v>
      </c>
      <c r="C36">
        <f t="shared" si="3"/>
        <v>8.795311920208698</v>
      </c>
      <c r="D36">
        <f>IF(AND(A36&lt;&gt;"",A36&lt;&gt;"Mond",B36&lt;&gt;"Mond"),ACOS(SIN(VLOOKUP(A36,'Bezugssterne usw.'!$A$7:$I$24,9)*Grad)*SIN(VLOOKUP(B36,'Bezugssterne usw.'!$A$7:$I$24,9)*Grad)+COS(VLOOKUP(A36,'Bezugssterne usw.'!$A$7:$I$24,9)*Grad)*COS(VLOOKUP(B36,'Bezugssterne usw.'!$A$7:$I$24,9)*Grad)*COS(VLOOKUP(A36,'Bezugssterne usw.'!$A$7:$I$24,5)*Grad-VLOOKUP(B36,'Bezugssterne usw.'!$A$7:$I$24,5)*Grad))/Grad,"")</f>
      </c>
      <c r="E36">
        <f t="shared" si="4"/>
      </c>
    </row>
    <row r="37" spans="1:5" ht="12.75">
      <c r="A37" s="15" t="s">
        <v>10</v>
      </c>
      <c r="B37" s="15" t="s">
        <v>100</v>
      </c>
      <c r="C37">
        <f t="shared" si="3"/>
        <v>8.8109891712379</v>
      </c>
      <c r="D37">
        <f>IF(AND(A37&lt;&gt;"",A37&lt;&gt;"Mond",B37&lt;&gt;"Mond"),ACOS(SIN(VLOOKUP(A37,'Bezugssterne usw.'!$A$7:$I$24,9)*Grad)*SIN(VLOOKUP(B37,'Bezugssterne usw.'!$A$7:$I$24,9)*Grad)+COS(VLOOKUP(A37,'Bezugssterne usw.'!$A$7:$I$24,9)*Grad)*COS(VLOOKUP(B37,'Bezugssterne usw.'!$A$7:$I$24,9)*Grad)*COS(VLOOKUP(A37,'Bezugssterne usw.'!$A$7:$I$24,5)*Grad-VLOOKUP(B37,'Bezugssterne usw.'!$A$7:$I$24,5)*Grad))/Grad,"")</f>
      </c>
      <c r="E37">
        <f t="shared" si="4"/>
      </c>
    </row>
    <row r="38" spans="1:5" ht="12.75">
      <c r="A38" s="15" t="s">
        <v>10</v>
      </c>
      <c r="B38" s="15" t="s">
        <v>103</v>
      </c>
      <c r="C38">
        <f t="shared" si="3"/>
        <v>12.488391689869154</v>
      </c>
      <c r="D38">
        <f>IF(AND(A38&lt;&gt;"",A38&lt;&gt;"Mond",B38&lt;&gt;"Mond"),ACOS(SIN(VLOOKUP(A38,'Bezugssterne usw.'!$A$7:$I$24,9)*Grad)*SIN(VLOOKUP(B38,'Bezugssterne usw.'!$A$7:$I$24,9)*Grad)+COS(VLOOKUP(A38,'Bezugssterne usw.'!$A$7:$I$24,9)*Grad)*COS(VLOOKUP(B38,'Bezugssterne usw.'!$A$7:$I$24,9)*Grad)*COS(VLOOKUP(A38,'Bezugssterne usw.'!$A$7:$I$24,5)*Grad-VLOOKUP(B38,'Bezugssterne usw.'!$A$7:$I$24,5)*Grad))/Grad,"")</f>
      </c>
      <c r="E38">
        <f t="shared" si="4"/>
      </c>
    </row>
    <row r="39" spans="1:5" ht="12.75">
      <c r="A39" s="15"/>
      <c r="B39" s="15"/>
      <c r="C39">
        <f t="shared" si="3"/>
      </c>
      <c r="D39">
        <f>IF(AND(A39&lt;&gt;"",A39&lt;&gt;"Mond",B39&lt;&gt;"Mond"),ACOS(SIN(VLOOKUP(A39,'Bezugssterne usw.'!$A$7:$I$24,9)*Grad)*SIN(VLOOKUP(B39,'Bezugssterne usw.'!$A$7:$I$24,9)*Grad)+COS(VLOOKUP(A39,'Bezugssterne usw.'!$A$7:$I$24,9)*Grad)*COS(VLOOKUP(B39,'Bezugssterne usw.'!$A$7:$I$24,9)*Grad)*COS(VLOOKUP(A39,'Bezugssterne usw.'!$A$7:$I$24,5)*Grad-VLOOKUP(B39,'Bezugssterne usw.'!$A$7:$I$24,5)*Grad))/Grad,"")</f>
      </c>
      <c r="E39">
        <f t="shared" si="4"/>
      </c>
    </row>
    <row r="40" spans="1:5" ht="12.75">
      <c r="A40" s="15"/>
      <c r="B40" s="15"/>
      <c r="C40">
        <f t="shared" si="3"/>
      </c>
      <c r="D40">
        <f>IF(AND(A40&lt;&gt;"",A40&lt;&gt;"Mond",B40&lt;&gt;"Mond"),ACOS(SIN(VLOOKUP(A40,'Bezugssterne usw.'!$A$7:$I$24,9)*Grad)*SIN(VLOOKUP(B40,'Bezugssterne usw.'!$A$7:$I$24,9)*Grad)+COS(VLOOKUP(A40,'Bezugssterne usw.'!$A$7:$I$24,9)*Grad)*COS(VLOOKUP(B40,'Bezugssterne usw.'!$A$7:$I$24,9)*Grad)*COS(VLOOKUP(A40,'Bezugssterne usw.'!$A$7:$I$24,5)*Grad-VLOOKUP(B40,'Bezugssterne usw.'!$A$7:$I$24,5)*Grad))/Grad,"")</f>
      </c>
      <c r="E40">
        <f t="shared" si="4"/>
      </c>
    </row>
  </sheetData>
  <mergeCells count="15">
    <mergeCell ref="G16:L16"/>
    <mergeCell ref="A1:N2"/>
    <mergeCell ref="A3:N3"/>
    <mergeCell ref="A4:N5"/>
    <mergeCell ref="A6:N6"/>
    <mergeCell ref="C10:I10"/>
    <mergeCell ref="A21:A22"/>
    <mergeCell ref="D22:N22"/>
    <mergeCell ref="C29:C30"/>
    <mergeCell ref="D29:D30"/>
    <mergeCell ref="E29:E30"/>
    <mergeCell ref="F29:F30"/>
    <mergeCell ref="A30:B30"/>
    <mergeCell ref="E12:F12"/>
    <mergeCell ref="A12:D12"/>
  </mergeCells>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K30"/>
  <sheetViews>
    <sheetView workbookViewId="0" topLeftCell="A1">
      <selection activeCell="M11" sqref="M11"/>
    </sheetView>
  </sheetViews>
  <sheetFormatPr defaultColWidth="11.421875" defaultRowHeight="12.75"/>
  <cols>
    <col min="1" max="1" width="39.57421875" style="0" customWidth="1"/>
    <col min="2" max="2" width="12.421875" style="0" bestFit="1" customWidth="1"/>
  </cols>
  <sheetData>
    <row r="1" spans="1:2" ht="12.75">
      <c r="A1" s="5" t="s">
        <v>136</v>
      </c>
      <c r="B1" s="35">
        <v>2</v>
      </c>
    </row>
    <row r="2" spans="1:2" ht="12.75">
      <c r="A2" s="61" t="s">
        <v>127</v>
      </c>
      <c r="B2" s="62" t="str">
        <f>IF(OrtNr=1,Ort1,Ort2)</f>
        <v>Bochum</v>
      </c>
    </row>
    <row r="3" spans="1:3" ht="12.75">
      <c r="A3" t="s">
        <v>44</v>
      </c>
      <c r="B3" t="s">
        <v>139</v>
      </c>
      <c r="C3" t="s">
        <v>138</v>
      </c>
    </row>
    <row r="4" spans="1:3" ht="12.75">
      <c r="A4" s="16" t="str">
        <f>IF(Ort=Ort1,'Beobachtungsort 1'!B22,'Beobachtungsort 2'!B22)</f>
        <v>Deneb Algedi</v>
      </c>
      <c r="B4" s="23">
        <f>VLOOKUP(A4,'Bezugssterne usw.'!$A$7:$I$24,5)</f>
        <v>326.76145833333334</v>
      </c>
      <c r="C4" s="23">
        <f>VLOOKUP(A4,'Bezugssterne usw.'!$A$7:$I$24,9)</f>
        <v>-16.128663888888887</v>
      </c>
    </row>
    <row r="5" spans="1:3" ht="12.75">
      <c r="A5" s="16" t="str">
        <f>IF(Ort=Ort1,'Beobachtungsort 1'!C22,'Beobachtungsort 2'!C22)</f>
        <v>Sadalsuud</v>
      </c>
      <c r="B5" s="23">
        <f>VLOOKUP(A5,'Bezugssterne usw.'!$A$7:$I$24,5)</f>
        <v>322.88983333333334</v>
      </c>
      <c r="C5" s="23">
        <f>VLOOKUP(A5,'Bezugssterne usw.'!$A$7:$I$24,9)</f>
        <v>-5.571205555555555</v>
      </c>
    </row>
    <row r="6" spans="1:2" ht="12.75">
      <c r="A6" s="5" t="s">
        <v>137</v>
      </c>
      <c r="B6" s="5"/>
    </row>
    <row r="7" spans="1:2" ht="12.75">
      <c r="A7" s="5" t="str">
        <f>CONCATENATE(A4,"- Mond")</f>
        <v>Deneb Algedi- Mond</v>
      </c>
      <c r="B7" s="63">
        <f>IF(Ort=Ort1,'Beobachtungsort 1'!B23,'Beobachtungsort 2'!B23)</f>
        <v>9.7195295092917</v>
      </c>
    </row>
    <row r="8" spans="1:2" ht="12.75">
      <c r="A8" s="5" t="str">
        <f>CONCATENATE(A5,"- Mond")</f>
        <v>Sadalsuud- Mond</v>
      </c>
      <c r="B8" s="63">
        <f>IF(Ort=Ort1,'Beobachtungsort 1'!C23,'Beobachtungsort 2'!C23)</f>
        <v>12.488391689869154</v>
      </c>
    </row>
    <row r="9" ht="12.75">
      <c r="B9" s="16"/>
    </row>
    <row r="10" spans="1:8" ht="12.75">
      <c r="A10" s="51" t="s">
        <v>45</v>
      </c>
      <c r="B10" s="51"/>
      <c r="C10" s="51"/>
      <c r="D10" s="51"/>
      <c r="E10" s="51"/>
      <c r="F10" s="51"/>
      <c r="G10" s="51"/>
      <c r="H10" s="51"/>
    </row>
    <row r="11" spans="1:8" ht="12.75">
      <c r="A11" s="57" t="s">
        <v>46</v>
      </c>
      <c r="B11" s="57"/>
      <c r="C11" s="57"/>
      <c r="D11" s="57"/>
      <c r="E11" s="57"/>
      <c r="F11" s="57"/>
      <c r="G11" s="57"/>
      <c r="H11" s="57"/>
    </row>
    <row r="12" spans="1:5" ht="12.75">
      <c r="A12" t="s">
        <v>47</v>
      </c>
      <c r="B12" t="s">
        <v>19</v>
      </c>
      <c r="C12" s="23">
        <f>COS(C4*Grad)*COS(B4*Grad)</f>
        <v>0.8034755018309011</v>
      </c>
      <c r="D12" s="23">
        <f>COS(C4*Grad)*SIN(B4*Grad)</f>
        <v>-0.5265518990034329</v>
      </c>
      <c r="E12" s="23">
        <f>SIN(C4*Grad)</f>
        <v>-0.27779527644195123</v>
      </c>
    </row>
    <row r="13" spans="1:5" ht="12.75">
      <c r="A13" t="s">
        <v>48</v>
      </c>
      <c r="B13" t="s">
        <v>20</v>
      </c>
      <c r="C13" s="23">
        <f>COS(C5*Grad)*COS(B5*Grad)</f>
        <v>0.7937098526510209</v>
      </c>
      <c r="D13" s="23">
        <f>COS(C5*Grad)*SIN(B5*Grad)</f>
        <v>-0.6004994701985719</v>
      </c>
      <c r="E13" s="23">
        <f>SIN(C5*Grad)</f>
        <v>-0.09708272810304239</v>
      </c>
    </row>
    <row r="14" spans="1:5" ht="12.75">
      <c r="A14" t="s">
        <v>49</v>
      </c>
      <c r="B14" t="s">
        <v>21</v>
      </c>
      <c r="C14" s="23">
        <f>COS(B7*Grad)</f>
        <v>0.9856459815105005</v>
      </c>
      <c r="D14" s="23"/>
      <c r="E14" s="23"/>
    </row>
    <row r="15" spans="1:5" ht="12.75">
      <c r="A15" t="s">
        <v>50</v>
      </c>
      <c r="B15" t="s">
        <v>22</v>
      </c>
      <c r="C15" s="23">
        <f>COS(B8*Grad)</f>
        <v>0.9763398384474982</v>
      </c>
      <c r="D15" s="23"/>
      <c r="E15" s="23"/>
    </row>
    <row r="16" spans="1:5" ht="12.75">
      <c r="A16" t="s">
        <v>51</v>
      </c>
      <c r="B16" t="s">
        <v>23</v>
      </c>
      <c r="C16" s="23">
        <f>D12*E13-E12*D13</f>
        <v>-0.11569682148396662</v>
      </c>
      <c r="D16" s="23">
        <f>E12*C13-C12*E13</f>
        <v>-0.14248525425018582</v>
      </c>
      <c r="E16" s="23">
        <f>C12*D13-D12*C13</f>
        <v>-0.06455718299585778</v>
      </c>
    </row>
    <row r="17" spans="2:5" ht="12.75">
      <c r="B17" t="s">
        <v>24</v>
      </c>
      <c r="C17" s="23">
        <f>C12*C13+D12*D13+E12*E13</f>
        <v>0.9808896818416464</v>
      </c>
      <c r="D17" s="23"/>
      <c r="E17" s="23"/>
    </row>
    <row r="18" spans="2:5" ht="12.75">
      <c r="B18" t="s">
        <v>25</v>
      </c>
      <c r="C18" s="23">
        <f>1-C17^2</f>
        <v>0.037855432056593696</v>
      </c>
      <c r="D18" s="23"/>
      <c r="E18" s="23"/>
    </row>
    <row r="19" spans="1:5" ht="12.75">
      <c r="A19" t="s">
        <v>52</v>
      </c>
      <c r="B19" t="s">
        <v>26</v>
      </c>
      <c r="C19" s="23">
        <f>(C14-C15*C17)/C18*C12+(C15-C14*C17)/C18*C13</f>
        <v>0.7933494008334923</v>
      </c>
      <c r="D19" s="23">
        <f>(C14-C15*C17)/C18*D12+(C15-C14*C17)/C18*D13</f>
        <v>-0.5401427853023634</v>
      </c>
      <c r="E19" s="23">
        <f>(C14-C15*C17)/C18*E12+(C15-C14*C17)/C18*E13</f>
        <v>-0.2296510042636916</v>
      </c>
    </row>
    <row r="20" spans="1:4" ht="12.75">
      <c r="A20" t="s">
        <v>60</v>
      </c>
      <c r="B20" t="s">
        <v>16</v>
      </c>
      <c r="C20" t="s">
        <v>27</v>
      </c>
      <c r="D20" t="s">
        <v>28</v>
      </c>
    </row>
    <row r="21" spans="1:4" ht="12.75">
      <c r="A21" t="s">
        <v>53</v>
      </c>
      <c r="B21" s="28">
        <f>C16^2+D16^2+E16^2</f>
        <v>0.037855432056593606</v>
      </c>
      <c r="C21" s="28">
        <f>2*(C16*C19+D16*D19+E16*E19)</f>
        <v>-3.469446951953614E-18</v>
      </c>
      <c r="D21" s="28">
        <f>C19^2+D19^2+E19^2-1</f>
        <v>-0.026102915923621683</v>
      </c>
    </row>
    <row r="22" spans="1:3" ht="12.75">
      <c r="A22" t="s">
        <v>54</v>
      </c>
      <c r="B22" t="s">
        <v>29</v>
      </c>
      <c r="C22" s="23">
        <f>-0.5*C21/B21+SQRT(0.25*C21^2/B21^2-D21/B21)</f>
        <v>0.8303867458792177</v>
      </c>
    </row>
    <row r="23" spans="1:3" ht="12.75">
      <c r="A23" t="s">
        <v>55</v>
      </c>
      <c r="B23" t="s">
        <v>30</v>
      </c>
      <c r="C23" s="23">
        <f>-0.5*C21/B21-SQRT(0.25*C21^2/B21^2-D21/B21)</f>
        <v>-0.8303867458792177</v>
      </c>
    </row>
    <row r="24" spans="3:6" ht="12.75">
      <c r="C24" s="8" t="s">
        <v>13</v>
      </c>
      <c r="D24" s="8" t="s">
        <v>14</v>
      </c>
      <c r="E24" s="8" t="s">
        <v>37</v>
      </c>
      <c r="F24" s="8" t="s">
        <v>15</v>
      </c>
    </row>
    <row r="25" spans="1:6" ht="12.75">
      <c r="A25" t="s">
        <v>56</v>
      </c>
      <c r="B25" t="s">
        <v>31</v>
      </c>
      <c r="C25" s="22">
        <f>C19+C22*C16</f>
        <v>0.6972762937328525</v>
      </c>
      <c r="D25" s="22">
        <f>D19+C22*D16</f>
        <v>-0.6584606519149482</v>
      </c>
      <c r="E25" s="22">
        <f>E19+C22*E16</f>
        <v>-0.2832584333747511</v>
      </c>
      <c r="F25" s="22">
        <f>SQRT(C25^2+D25^2)</f>
        <v>0.9590436173199224</v>
      </c>
    </row>
    <row r="26" spans="1:8" ht="12.75">
      <c r="A26" t="s">
        <v>57</v>
      </c>
      <c r="B26" t="s">
        <v>32</v>
      </c>
      <c r="C26" s="22">
        <f>C19+C23*C16</f>
        <v>0.889422507934132</v>
      </c>
      <c r="D26" s="22">
        <f>D19+C23*D16</f>
        <v>-0.4218249186897786</v>
      </c>
      <c r="E26" s="22">
        <f>E19+C23*E16</f>
        <v>-0.17604357515263208</v>
      </c>
      <c r="F26" s="22">
        <f>SQRT(C26^2+D26^2)</f>
        <v>0.9843823747139521</v>
      </c>
      <c r="H26" s="5"/>
    </row>
    <row r="27" spans="2:4" ht="12.75">
      <c r="B27" s="8" t="s">
        <v>33</v>
      </c>
      <c r="C27" s="11" t="s">
        <v>34</v>
      </c>
      <c r="D27" s="5"/>
    </row>
    <row r="28" spans="1:11" ht="12.75">
      <c r="A28" s="19" t="s">
        <v>58</v>
      </c>
      <c r="B28" s="17">
        <f>IF(ATAN2(C25,D25)/Grad&gt;0,ATAN2(C25,D25)/Grad,ATAN2(C25,D25)/Grad+360)</f>
        <v>316.639967905903</v>
      </c>
      <c r="C28" s="17">
        <f>ATAN(E25/F25)/Grad</f>
        <v>-16.454774856794632</v>
      </c>
      <c r="D28" s="50" t="s">
        <v>148</v>
      </c>
      <c r="E28" s="50"/>
      <c r="F28" s="50"/>
      <c r="G28" s="50"/>
      <c r="H28" s="50"/>
      <c r="I28" s="50"/>
      <c r="J28" s="50"/>
      <c r="K28" s="4"/>
    </row>
    <row r="29" spans="1:10" ht="12.75">
      <c r="A29" s="19" t="s">
        <v>59</v>
      </c>
      <c r="B29" s="17">
        <f>IF(ATAN2(C26,D26)/Grad&gt;0,ATAN2(C26,D26)/Grad,ATAN2(C26,D26)/Grad+360)</f>
        <v>334.62649631786564</v>
      </c>
      <c r="C29" s="17">
        <f>ATAN(E26/F26)/Grad</f>
        <v>-10.139393445619339</v>
      </c>
      <c r="D29" s="50" t="s">
        <v>149</v>
      </c>
      <c r="E29" s="50"/>
      <c r="F29" s="50"/>
      <c r="G29" s="50"/>
      <c r="H29" s="50"/>
      <c r="I29" s="50"/>
      <c r="J29" s="50"/>
    </row>
    <row r="30" spans="1:3" ht="12.75">
      <c r="A30" s="5" t="s">
        <v>38</v>
      </c>
      <c r="B30" s="18">
        <f>IF(Ort=Ort1,'Beobachtungsort 1'!B27,'Beobachtungsort 2'!B27)</f>
        <v>334.56191666666666</v>
      </c>
      <c r="C30" s="18">
        <f>IF(Ort=Ort1,'Beobachtungsort 1'!C27,'Beobachtungsort 2'!C27)</f>
        <v>-10.112338888888889</v>
      </c>
    </row>
  </sheetData>
  <mergeCells count="4">
    <mergeCell ref="A10:H10"/>
    <mergeCell ref="A11:H11"/>
    <mergeCell ref="D28:J28"/>
    <mergeCell ref="D29:J29"/>
  </mergeCells>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N32"/>
  <sheetViews>
    <sheetView tabSelected="1" workbookViewId="0" topLeftCell="A1">
      <selection activeCell="P4" sqref="P4"/>
    </sheetView>
  </sheetViews>
  <sheetFormatPr defaultColWidth="11.421875" defaultRowHeight="12.75"/>
  <cols>
    <col min="1" max="1" width="14.57421875" style="0" customWidth="1"/>
    <col min="5" max="5" width="15.421875" style="0" customWidth="1"/>
    <col min="12" max="12" width="13.00390625" style="0" customWidth="1"/>
  </cols>
  <sheetData>
    <row r="2" spans="1:14" ht="12.75">
      <c r="A2" s="50" t="s">
        <v>152</v>
      </c>
      <c r="B2" s="50"/>
      <c r="C2" s="50"/>
      <c r="D2" s="50"/>
      <c r="E2" s="50"/>
      <c r="F2" s="50"/>
      <c r="G2" s="50"/>
      <c r="H2" s="50"/>
      <c r="I2" s="50"/>
      <c r="J2" s="50"/>
      <c r="K2" s="50"/>
      <c r="L2" s="50"/>
      <c r="M2" s="50"/>
      <c r="N2" s="50"/>
    </row>
    <row r="4" spans="1:4" ht="12.75">
      <c r="A4" s="5" t="s">
        <v>36</v>
      </c>
      <c r="B4" s="66">
        <f>Datum</f>
        <v>42519</v>
      </c>
      <c r="C4" s="5" t="s">
        <v>125</v>
      </c>
      <c r="D4" s="67">
        <f>Uhrzeit</f>
        <v>0.09027777777777778</v>
      </c>
    </row>
    <row r="5" spans="2:14" ht="12.75">
      <c r="B5" t="s">
        <v>61</v>
      </c>
      <c r="C5" t="s">
        <v>62</v>
      </c>
      <c r="D5" s="8" t="s">
        <v>69</v>
      </c>
      <c r="E5" s="57" t="s">
        <v>141</v>
      </c>
      <c r="F5" s="57"/>
      <c r="G5" s="57"/>
      <c r="H5" s="57"/>
      <c r="I5" t="s">
        <v>70</v>
      </c>
      <c r="J5" t="s">
        <v>71</v>
      </c>
      <c r="K5" s="57" t="s">
        <v>142</v>
      </c>
      <c r="L5" s="57"/>
      <c r="M5" s="57"/>
      <c r="N5" s="57"/>
    </row>
    <row r="6" spans="1:14" ht="12.75">
      <c r="A6" s="68" t="str">
        <f>Ort1</f>
        <v>Hakos</v>
      </c>
      <c r="B6" s="69">
        <f>geogrBreite1</f>
        <v>-23.14</v>
      </c>
      <c r="C6" s="69">
        <f>geogrLaenge1</f>
        <v>16.33</v>
      </c>
      <c r="D6" s="70">
        <f>Sternzeit1</f>
        <v>0.8218650231481481</v>
      </c>
      <c r="E6" s="8" t="s">
        <v>31</v>
      </c>
      <c r="F6" s="22">
        <f>COS(D6*2*PI())*COS(B6*Grad)</f>
        <v>0.4012471045077603</v>
      </c>
      <c r="G6" s="22">
        <f>SIN(D6*2*PI())*COS(B6*Grad)</f>
        <v>-0.8273863228174141</v>
      </c>
      <c r="H6" s="22">
        <f>SIN(B6*Grad)</f>
        <v>-0.3929791774875816</v>
      </c>
      <c r="I6" s="43">
        <f>'Beobachtungsort 1'!B26</f>
        <v>334.73369423818446</v>
      </c>
      <c r="J6" s="43">
        <f>'Beobachtungsort 1'!C26</f>
        <v>-9.022816548344627</v>
      </c>
      <c r="K6" s="8" t="s">
        <v>88</v>
      </c>
      <c r="L6" s="22">
        <f>COS(I6*Grad)*COS(J6*Grad)</f>
        <v>0.8931434561686558</v>
      </c>
      <c r="M6" s="22">
        <f>SIN(I6*Grad)*COS(J6*Grad)</f>
        <v>-0.42154456003207735</v>
      </c>
      <c r="N6" s="22">
        <f>SIN(J6*Grad)</f>
        <v>-0.15682777372159143</v>
      </c>
    </row>
    <row r="7" spans="1:14" ht="12.75">
      <c r="A7" s="68" t="str">
        <f>Ort2</f>
        <v>Bochum</v>
      </c>
      <c r="B7" s="69">
        <f>geogrBreite2</f>
        <v>51.48</v>
      </c>
      <c r="C7" s="69">
        <f>geogrLaenge2</f>
        <v>7.22</v>
      </c>
      <c r="D7" s="42">
        <f>D6+(C7-C6)/360</f>
        <v>0.7965594675925926</v>
      </c>
      <c r="E7" s="8" t="s">
        <v>32</v>
      </c>
      <c r="F7" s="22">
        <f>COS(D7*2*PI())*COS(B7*Grad)</f>
        <v>0.17960385437869747</v>
      </c>
      <c r="G7" s="22">
        <f>SIN(D7*2*PI())*COS(B7*Grad)</f>
        <v>-0.5963279928173967</v>
      </c>
      <c r="H7" s="22">
        <f>SIN(B7*Grad)</f>
        <v>0.7823908105765881</v>
      </c>
      <c r="I7" s="43">
        <f>'Beobachtungsort 2'!B26</f>
        <v>334.62649631786564</v>
      </c>
      <c r="J7" s="43">
        <f>'Beobachtungsort 2'!C26</f>
        <v>-10.1393934456193</v>
      </c>
      <c r="K7" s="8" t="s">
        <v>89</v>
      </c>
      <c r="L7" s="22">
        <f>COS(I7*Grad)*COS(J7*Grad)</f>
        <v>0.8894225079341322</v>
      </c>
      <c r="M7" s="22">
        <f>SIN(I7*Grad)*COS(J7*Grad)</f>
        <v>-0.42182491868977845</v>
      </c>
      <c r="N7" s="22">
        <f>SIN(J7*Grad)</f>
        <v>-0.17604357515263142</v>
      </c>
    </row>
    <row r="9" spans="1:6" ht="12.75">
      <c r="A9" t="s">
        <v>72</v>
      </c>
      <c r="B9" s="4">
        <f>F7-F6</f>
        <v>-0.22164325012906283</v>
      </c>
      <c r="C9" s="4">
        <f>G7-G6</f>
        <v>0.2310583300000174</v>
      </c>
      <c r="D9" s="4">
        <f>H7-H6</f>
        <v>1.1753699880641697</v>
      </c>
      <c r="E9" s="7" t="s">
        <v>96</v>
      </c>
      <c r="F9" s="4">
        <f>SQRT(B9^2+C9^2+D9^2)</f>
        <v>1.2181987896202071</v>
      </c>
    </row>
    <row r="10" spans="1:4" ht="12.75">
      <c r="A10" t="s">
        <v>73</v>
      </c>
      <c r="B10" s="4">
        <f>L6-L7</f>
        <v>0.0037209482345235134</v>
      </c>
      <c r="C10" s="4">
        <f>M6-M7</f>
        <v>0.00028035865770109636</v>
      </c>
      <c r="D10" s="4">
        <f>N6-N7</f>
        <v>0.019215801431039986</v>
      </c>
    </row>
    <row r="11" spans="1:4" ht="12.75">
      <c r="A11" t="s">
        <v>74</v>
      </c>
      <c r="B11" s="4">
        <f>L6+L7</f>
        <v>1.782565964102788</v>
      </c>
      <c r="C11" s="4">
        <f>M6+M7</f>
        <v>-0.8433694787218557</v>
      </c>
      <c r="D11" s="4">
        <f>N6+N7</f>
        <v>-0.33287134887422287</v>
      </c>
    </row>
    <row r="12" spans="1:6" ht="12.75">
      <c r="A12" t="s">
        <v>75</v>
      </c>
      <c r="B12" s="4">
        <f>L6*L7+M6*M7+N6*N7</f>
        <v>0.9998084144593109</v>
      </c>
      <c r="C12" s="4"/>
      <c r="D12" s="4"/>
      <c r="E12" s="7" t="s">
        <v>90</v>
      </c>
      <c r="F12" s="4">
        <f>ACOS(B12)/Grad</f>
        <v>1.1215688237011054</v>
      </c>
    </row>
    <row r="13" spans="1:4" ht="12.75">
      <c r="A13" t="s">
        <v>78</v>
      </c>
      <c r="B13" s="4">
        <f>B9*B10+C9*C10+D9*D10</f>
        <v>0.021825732441632596</v>
      </c>
      <c r="C13" s="4">
        <f>B13*RE</f>
        <v>139.05174138564126</v>
      </c>
      <c r="D13" s="4"/>
    </row>
    <row r="14" spans="1:4" ht="12.75">
      <c r="A14" t="s">
        <v>79</v>
      </c>
      <c r="B14" s="4">
        <f>B9*B11+C9*C11+D9*D11</f>
        <v>-0.9812082505328448</v>
      </c>
      <c r="C14" s="4">
        <f>B14*RE</f>
        <v>-6251.277764144754</v>
      </c>
      <c r="D14" s="4"/>
    </row>
    <row r="15" spans="1:4" ht="12.75">
      <c r="A15" t="s">
        <v>76</v>
      </c>
      <c r="B15" s="4">
        <f>B13/(1-B12)</f>
        <v>113.92160579096607</v>
      </c>
      <c r="C15" s="4">
        <f>B15*RE</f>
        <v>725794.5504942448</v>
      </c>
      <c r="D15" s="4"/>
    </row>
    <row r="16" spans="1:4" ht="12.75">
      <c r="A16" t="s">
        <v>77</v>
      </c>
      <c r="B16" s="4">
        <f>B14/(1+B12)</f>
        <v>-0.4906511260970639</v>
      </c>
      <c r="C16" s="4">
        <f>B16*RE</f>
        <v>-3125.9383243643942</v>
      </c>
      <c r="D16" s="4"/>
    </row>
    <row r="17" spans="1:4" ht="12.75">
      <c r="A17" t="s">
        <v>80</v>
      </c>
      <c r="B17" s="9">
        <f>0.5*(B15+B16)</f>
        <v>56.7154773324345</v>
      </c>
      <c r="C17" s="4"/>
      <c r="D17" s="4"/>
    </row>
    <row r="18" spans="1:4" ht="12.75">
      <c r="A18" t="s">
        <v>81</v>
      </c>
      <c r="B18" s="9">
        <f>0.5*(B15-B16)</f>
        <v>57.206128458531566</v>
      </c>
      <c r="C18" s="4"/>
      <c r="D18" s="4"/>
    </row>
    <row r="19" spans="1:7" ht="12.75">
      <c r="A19" t="s">
        <v>82</v>
      </c>
      <c r="B19" s="9">
        <f>$B$17*L6</f>
        <v>50.655057442945605</v>
      </c>
      <c r="C19" s="9">
        <f>$B$17*M6</f>
        <v>-23.90810093911036</v>
      </c>
      <c r="D19" s="9">
        <f>$B$17*N6</f>
        <v>-8.894562045603086</v>
      </c>
      <c r="E19" s="20" t="s">
        <v>143</v>
      </c>
      <c r="F19" s="51" t="s">
        <v>98</v>
      </c>
      <c r="G19" s="51"/>
    </row>
    <row r="20" spans="1:14" ht="12.75">
      <c r="A20" t="s">
        <v>83</v>
      </c>
      <c r="B20" s="9">
        <f>F6+B19</f>
        <v>51.056304547453365</v>
      </c>
      <c r="C20" s="9">
        <f>G6+C19</f>
        <v>-24.735487261927773</v>
      </c>
      <c r="D20" s="9">
        <f>H6+D19</f>
        <v>-9.287541223090669</v>
      </c>
      <c r="E20" s="27">
        <f>SQRT(B20^2+C20^2+D20^2)</f>
        <v>57.48781597954394</v>
      </c>
      <c r="K20" s="5"/>
      <c r="L20" s="5"/>
      <c r="M20" s="20" t="s">
        <v>92</v>
      </c>
      <c r="N20" s="20" t="s">
        <v>93</v>
      </c>
    </row>
    <row r="21" spans="1:14" ht="12.75">
      <c r="A21" t="s">
        <v>84</v>
      </c>
      <c r="B21" s="4">
        <f>$B$18*L7</f>
        <v>50.88041824278928</v>
      </c>
      <c r="C21" s="4">
        <f>$B$18*M7</f>
        <v>-24.130970485577098</v>
      </c>
      <c r="D21" s="4">
        <f>$B$18*N7</f>
        <v>-10.07077137448059</v>
      </c>
      <c r="E21" s="3"/>
      <c r="F21" s="65">
        <f>SQRT((C22-C20)^2+(D22-D20)^2+(B22-B20)^2)/rMond</f>
        <v>0.033206659937808955</v>
      </c>
      <c r="G21" s="65"/>
      <c r="I21" s="58" t="s">
        <v>91</v>
      </c>
      <c r="J21" s="58"/>
      <c r="K21" s="5" t="s">
        <v>86</v>
      </c>
      <c r="L21" s="5"/>
      <c r="M21" s="20">
        <v>59.1</v>
      </c>
      <c r="N21" s="38">
        <f>ROUND(M21*RE/1000,0)*1000</f>
        <v>377000</v>
      </c>
    </row>
    <row r="22" spans="1:14" ht="12.75">
      <c r="A22" t="s">
        <v>85</v>
      </c>
      <c r="B22" s="4">
        <f>F7+B21</f>
        <v>51.06002209716798</v>
      </c>
      <c r="C22" s="4">
        <f>G7+C21</f>
        <v>-24.727298478394495</v>
      </c>
      <c r="D22" s="4">
        <f>H7+D21</f>
        <v>-9.288380563904001</v>
      </c>
      <c r="E22" s="27">
        <f>SQRT(B22^2+C22^2+D22^2)</f>
        <v>57.48773051793576</v>
      </c>
      <c r="I22" s="58"/>
      <c r="J22" s="58"/>
      <c r="K22" s="5" t="s">
        <v>87</v>
      </c>
      <c r="L22" s="5"/>
      <c r="M22" s="21">
        <f>ROUND(0.5*(E20+E22),1)</f>
        <v>57.5</v>
      </c>
      <c r="N22" s="21">
        <f>ROUND(M22*RE/1000,0)*1000</f>
        <v>366000</v>
      </c>
    </row>
    <row r="24" spans="1:12" ht="12.75">
      <c r="A24" s="10"/>
      <c r="B24" s="10"/>
      <c r="C24" s="10"/>
      <c r="D24" s="10"/>
      <c r="E24" s="10"/>
      <c r="F24" s="10"/>
      <c r="G24" s="10"/>
      <c r="H24" s="10"/>
      <c r="I24" s="10"/>
      <c r="J24" s="10"/>
      <c r="K24" s="10"/>
      <c r="L24" s="10"/>
    </row>
    <row r="25" spans="1:12" ht="12.75">
      <c r="A25" s="10"/>
      <c r="B25" s="10"/>
      <c r="C25" s="10"/>
      <c r="D25" s="10"/>
      <c r="E25" s="10"/>
      <c r="F25" s="10"/>
      <c r="G25" s="10"/>
      <c r="H25" s="10"/>
      <c r="I25" s="10"/>
      <c r="J25" s="10"/>
      <c r="K25" s="10"/>
      <c r="L25" s="10"/>
    </row>
    <row r="28" ht="12.75">
      <c r="E28" s="22"/>
    </row>
    <row r="29" ht="12.75">
      <c r="E29" s="22"/>
    </row>
    <row r="30" ht="12.75">
      <c r="E30" s="22"/>
    </row>
    <row r="31" ht="12.75">
      <c r="E31" s="22"/>
    </row>
    <row r="32" ht="12.75">
      <c r="E32" s="22"/>
    </row>
  </sheetData>
  <mergeCells count="6">
    <mergeCell ref="A2:N2"/>
    <mergeCell ref="I21:J22"/>
    <mergeCell ref="K5:N5"/>
    <mergeCell ref="E5:H5"/>
    <mergeCell ref="F19:G19"/>
    <mergeCell ref="F21:G21"/>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Universität Duisburg-Essen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Udo</dc:creator>
  <cp:keywords/>
  <dc:description/>
  <cp:lastModifiedBy>Udo</cp:lastModifiedBy>
  <dcterms:created xsi:type="dcterms:W3CDTF">2015-12-28T11:51:28Z</dcterms:created>
  <dcterms:modified xsi:type="dcterms:W3CDTF">2016-07-13T18:45:00Z</dcterms:modified>
  <cp:category/>
  <cp:version/>
  <cp:contentType/>
  <cp:contentStatus/>
</cp:coreProperties>
</file>