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875" windowHeight="8475" tabRatio="738" activeTab="4"/>
  </bookViews>
  <sheets>
    <sheet name="Einführung" sheetId="1" r:id="rId1"/>
    <sheet name="Bezugssterne" sheetId="2" r:id="rId2"/>
    <sheet name="Messung 1" sheetId="3" r:id="rId3"/>
    <sheet name="Messung 2" sheetId="4" r:id="rId4"/>
    <sheet name="Messung 3" sheetId="5" r:id="rId5"/>
    <sheet name="Positionsberechnung" sheetId="6" r:id="rId6"/>
    <sheet name="Interpolation" sheetId="7" r:id="rId7"/>
    <sheet name="korr. Parallaxenrechnung" sheetId="8" r:id="rId8"/>
  </sheets>
  <externalReferences>
    <externalReference r:id="rId11"/>
  </externalReferences>
  <definedNames>
    <definedName name="Datum1">'Messung 1'!$B$8</definedName>
    <definedName name="Datum2">'Messung 2'!$B$8</definedName>
    <definedName name="Datum3">'Messung 3'!$B$8</definedName>
    <definedName name="day">#REF!</definedName>
    <definedName name="deg">#REF!</definedName>
    <definedName name="dRM1">#REF!</definedName>
    <definedName name="dRM2">#REF!</definedName>
    <definedName name="dSM1">#REF!</definedName>
    <definedName name="dSM2">#REF!</definedName>
    <definedName name="exEarth">#REF!</definedName>
    <definedName name="geogrBreite">'Bezugssterne'!$L$20</definedName>
    <definedName name="geogrLaenge">'Bezugssterne'!$M$20</definedName>
    <definedName name="Grad">'Bezugssterne'!$L$13</definedName>
    <definedName name="lambda1">'[1]data'!$J$36</definedName>
    <definedName name="lambda2">'[1]data'!$K$36</definedName>
    <definedName name="Massstab">'Bezugssterne'!$L$7</definedName>
    <definedName name="month">#REF!</definedName>
    <definedName name="Nr">'Positionsberechnung'!$B$1</definedName>
    <definedName name="nx">'Bezugssterne'!$L$8</definedName>
    <definedName name="ny">'Bezugssterne'!$L$9</definedName>
    <definedName name="omegaE">'Bezugssterne'!$L$22</definedName>
    <definedName name="omegaM">'Interpolation'!$C$11</definedName>
    <definedName name="phi1">'[1]data'!$J$35</definedName>
    <definedName name="phi2">'[1]data'!$K$35</definedName>
    <definedName name="rho">'korr. Parallaxenrechnung'!#REF!</definedName>
    <definedName name="rMond">'Bezugssterne'!$L$23</definedName>
    <definedName name="scale1">#REF!</definedName>
    <definedName name="scale2">#REF!</definedName>
    <definedName name="ST2UT">#REF!</definedName>
    <definedName name="Uhrzeit1">'Messung 1'!$B$9</definedName>
    <definedName name="Uhrzeit2">'Messung 2'!$B$9</definedName>
    <definedName name="Uhrzeit3">'Messung 3'!$B$9</definedName>
    <definedName name="UT1">'[1]data'!$J$34</definedName>
    <definedName name="UT2">'[1]data'!$K$34</definedName>
    <definedName name="xM">'Bezugssterne'!$L$11</definedName>
    <definedName name="xM1">'[1]data'!$J$41</definedName>
    <definedName name="xM2">'[1]data'!$K$41</definedName>
    <definedName name="xR">#REF!</definedName>
    <definedName name="xR1">'[1]data'!$J$39</definedName>
    <definedName name="xR2">'[1]data'!$K$39</definedName>
    <definedName name="xS">#REF!</definedName>
    <definedName name="xS1">'[1]data'!$J$37</definedName>
    <definedName name="xS2">'[1]data'!$K$37</definedName>
    <definedName name="year">#REF!</definedName>
    <definedName name="yM">'Bezugssterne'!$L$12</definedName>
    <definedName name="yM1">'[1]data'!$J$42</definedName>
    <definedName name="yM2">'[1]data'!$K$42</definedName>
    <definedName name="yR">#REF!</definedName>
    <definedName name="yR1">'[1]data'!$J$40</definedName>
    <definedName name="yR2">'[1]data'!$K$40</definedName>
    <definedName name="yS">#REF!</definedName>
    <definedName name="yS1">'[1]data'!$J$38</definedName>
    <definedName name="yS2">'[1]data'!$K$38</definedName>
    <definedName name="zR">#REF!</definedName>
  </definedNames>
  <calcPr fullCalcOnLoad="1"/>
</workbook>
</file>

<file path=xl/sharedStrings.xml><?xml version="1.0" encoding="utf-8"?>
<sst xmlns="http://schemas.openxmlformats.org/spreadsheetml/2006/main" count="383" uniqueCount="224">
  <si>
    <t>h</t>
  </si>
  <si>
    <t>min</t>
  </si>
  <si>
    <t>s</t>
  </si>
  <si>
    <t>Grad</t>
  </si>
  <si>
    <t/>
  </si>
  <si>
    <t>"</t>
  </si>
  <si>
    <t>Rektaszension</t>
  </si>
  <si>
    <t>Deklination</t>
  </si>
  <si>
    <t>Brennweite</t>
  </si>
  <si>
    <t>Pixelgröße in mm</t>
  </si>
  <si>
    <t>Mond</t>
  </si>
  <si>
    <t>xM</t>
  </si>
  <si>
    <t>yM</t>
  </si>
  <si>
    <t>x</t>
  </si>
  <si>
    <t>y</t>
  </si>
  <si>
    <t>r</t>
  </si>
  <si>
    <t>A</t>
  </si>
  <si>
    <t>A in Grad</t>
  </si>
  <si>
    <t>h in Grad</t>
  </si>
  <si>
    <t>n1</t>
  </si>
  <si>
    <t>n2</t>
  </si>
  <si>
    <t>d1</t>
  </si>
  <si>
    <t>d2</t>
  </si>
  <si>
    <t>w</t>
  </si>
  <si>
    <t>n1*n2</t>
  </si>
  <si>
    <t>Nenner</t>
  </si>
  <si>
    <t>q</t>
  </si>
  <si>
    <t>B</t>
  </si>
  <si>
    <t>C</t>
  </si>
  <si>
    <t>t1</t>
  </si>
  <si>
    <t>t2</t>
  </si>
  <si>
    <t>r1</t>
  </si>
  <si>
    <t>r2</t>
  </si>
  <si>
    <t>Rekt.</t>
  </si>
  <si>
    <t>Dekl.</t>
  </si>
  <si>
    <t>gemessene Mondposition</t>
  </si>
  <si>
    <t>Datum</t>
  </si>
  <si>
    <t>Uhrzeit</t>
  </si>
  <si>
    <t>z</t>
  </si>
  <si>
    <t>phi(t3)</t>
  </si>
  <si>
    <t>phi(t2)</t>
  </si>
  <si>
    <t>Rekt</t>
  </si>
  <si>
    <t>Dekl</t>
  </si>
  <si>
    <t>(mit theor. Positionen)</t>
  </si>
  <si>
    <t>(mit gemessenen Positionen)</t>
  </si>
  <si>
    <t>Winkelabstände in Grad</t>
  </si>
  <si>
    <t>Referenzposition des Mondes</t>
  </si>
  <si>
    <t>theoretische Mondposition</t>
  </si>
  <si>
    <t>Auf dem Foto gemessene Pixelpositionen</t>
  </si>
  <si>
    <t>abgeleitete Winkel</t>
  </si>
  <si>
    <t>Konstanten</t>
  </si>
  <si>
    <t>Objekt (alphab. Reihenfolge!)</t>
  </si>
  <si>
    <t>Bezugssterne</t>
  </si>
  <si>
    <t>Berechnung der Mondposition als Schnittpunkt der Schnittgerade zweier Ebenen mit der Einheitskugel</t>
  </si>
  <si>
    <t>(Schnittgerade berechnet mit Hilfe von Wikipedia)</t>
  </si>
  <si>
    <t>Normalenvektor Ebene 1</t>
  </si>
  <si>
    <t>Normalenvektor Ebene 2</t>
  </si>
  <si>
    <t>O-Abstand Ebene 1</t>
  </si>
  <si>
    <t>O-Abstand Ebene 2</t>
  </si>
  <si>
    <t>Richtungsvektor der Schnittgerade</t>
  </si>
  <si>
    <t>Achsenabschnitt der Schnittgerade r=q+t*w</t>
  </si>
  <si>
    <t>Berechnung der Schnittpunkte</t>
  </si>
  <si>
    <t>Lösung 1</t>
  </si>
  <si>
    <t>Lösung 2</t>
  </si>
  <si>
    <t>Lösungsvektor 1</t>
  </si>
  <si>
    <t>Lösungsvektor 2</t>
  </si>
  <si>
    <t>Lösungsposition 1 des Mondes</t>
  </si>
  <si>
    <t>Lösungsposition 2 des Mondes</t>
  </si>
  <si>
    <t>Parameter der quadr. Gleichung für t zur</t>
  </si>
  <si>
    <t>t in h</t>
  </si>
  <si>
    <t>delta t in h</t>
  </si>
  <si>
    <t>Normale auf der Mondbahnebene</t>
  </si>
  <si>
    <t>Einheitsvektor der Ebenennormalen</t>
  </si>
  <si>
    <t>2. Vektor der Orthonormalbasis der Bahnebene</t>
  </si>
  <si>
    <t>1. Vektor der Orthonormalbasis der Bahnebene</t>
  </si>
  <si>
    <t>vom Mond insgesamt überstrichener Winkel</t>
  </si>
  <si>
    <t>mittlere Winkelgeschwindigkeit in Grad/h</t>
  </si>
  <si>
    <t>geogr. Breite</t>
  </si>
  <si>
    <t>geogr. Länge</t>
  </si>
  <si>
    <t>lineare Rechnung</t>
  </si>
  <si>
    <t>Rekt. In Grad</t>
  </si>
  <si>
    <t>Dekl. In Grad</t>
  </si>
  <si>
    <t>maximaler Winkel</t>
  </si>
  <si>
    <t>Anzahl der x-Pixel nx</t>
  </si>
  <si>
    <t>Anzahl der y-Pixel ny</t>
  </si>
  <si>
    <t>Beobachtungsort</t>
  </si>
  <si>
    <t>Breite des Chips in mm</t>
  </si>
  <si>
    <t>Höhe des Chips in mm</t>
  </si>
  <si>
    <t>Chipdiagonale in mm</t>
  </si>
  <si>
    <t>ungef. Brennweite in mm</t>
  </si>
  <si>
    <t>am Raumort der ersten Messung</t>
  </si>
  <si>
    <t>Bestimmung der Entfernung zum Mond durch Messung seiner täglichen Parallaxe</t>
  </si>
  <si>
    <t>Kurzanleitung</t>
  </si>
  <si>
    <r>
      <t xml:space="preserve">1. Im Tabellenblatt "Bezugssterne" müssen in den gelb unterlegten Feldern Namen und Koordinaten geeigneter Referenzsterne, die technischen Daten der Kamera und die Position des Beobachters eingetragen werden. </t>
    </r>
    <r>
      <rPr>
        <b/>
        <sz val="10"/>
        <rFont val="Arial"/>
        <family val="2"/>
      </rPr>
      <t>Die Bezugssterne müssen in alphabetischer Reihenfolge aufgeführt werden!</t>
    </r>
  </si>
  <si>
    <t>gemessene Winkelabstände in Grad</t>
  </si>
  <si>
    <t>Sternzeit</t>
  </si>
  <si>
    <t>Vektor r</t>
  </si>
  <si>
    <t>alphaM</t>
  </si>
  <si>
    <t>deltaM</t>
  </si>
  <si>
    <t>Vektor e</t>
  </si>
  <si>
    <t>virt. Beobachter</t>
  </si>
  <si>
    <t>r2-r1</t>
  </si>
  <si>
    <t>e1-e2</t>
  </si>
  <si>
    <t>e1+e2</t>
  </si>
  <si>
    <t>e1*e2</t>
  </si>
  <si>
    <t>lambda+mu</t>
  </si>
  <si>
    <t>lambda-mu</t>
  </si>
  <si>
    <t>(r2-r1)*(e1-e2)</t>
  </si>
  <si>
    <t>(r2-r1)*(e1+e2)</t>
  </si>
  <si>
    <t>lambda</t>
  </si>
  <si>
    <t>mu</t>
  </si>
  <si>
    <t>lambda*e1</t>
  </si>
  <si>
    <t>r1+lambda*e1</t>
  </si>
  <si>
    <t>mu*e2</t>
  </si>
  <si>
    <t>r2+mu*e2</t>
  </si>
  <si>
    <t>mit theoretischen Werten:</t>
  </si>
  <si>
    <t>mit gemessenen Werten:</t>
  </si>
  <si>
    <t>rM1</t>
  </si>
  <si>
    <t>rM2</t>
  </si>
  <si>
    <t>rM3</t>
  </si>
  <si>
    <t>rM1 x rM3</t>
  </si>
  <si>
    <t>a = e(rM1 x rM3)</t>
  </si>
  <si>
    <t>rKS2 = a x rM1</t>
  </si>
  <si>
    <t>rKS1 = rM1</t>
  </si>
  <si>
    <t>omegaM</t>
  </si>
  <si>
    <t>rKS1*cos(phi(t2))</t>
  </si>
  <si>
    <t>rKS2*sin(phi(t2))</t>
  </si>
  <si>
    <t>r2virt = rM2interpoliert</t>
  </si>
  <si>
    <t>Parallaxeneffekt (Winkel(r2,r2virt) )in Grad:</t>
  </si>
  <si>
    <t>e1</t>
  </si>
  <si>
    <t>e2</t>
  </si>
  <si>
    <t>parall. Winkel</t>
  </si>
  <si>
    <t>Mondentfernung dM</t>
  </si>
  <si>
    <t>dM/RE</t>
  </si>
  <si>
    <t>dm in km</t>
  </si>
  <si>
    <t>Beobachtungspositionen im Raum</t>
  </si>
  <si>
    <t>"Messung" des virtuellen Beobachters</t>
  </si>
  <si>
    <t>Beobachter zur Zeit t2</t>
  </si>
  <si>
    <t>virtueller Beobachter zur Zeit t2</t>
  </si>
  <si>
    <t>Rekt. = Sternzeit</t>
  </si>
  <si>
    <t>Dekl. = geogr. Breite</t>
  </si>
  <si>
    <t>geogr. Position</t>
  </si>
  <si>
    <t>äquatoriale Koordinaten ri</t>
  </si>
  <si>
    <t>Richtungen zum Mond ei</t>
  </si>
  <si>
    <t>Projektionswinkel w (=arccos((r2-r1)*e1))</t>
  </si>
  <si>
    <t>parall. Winkel (=arccos(e1*e2))</t>
  </si>
  <si>
    <t>Verbindungsvektor r2-r1</t>
  </si>
  <si>
    <t>Abstand der Beobachtungsorte (|r2-r1|)</t>
  </si>
  <si>
    <t>proj. Abstand der Beobachtungsorte</t>
  </si>
  <si>
    <t>Mondabstand in km</t>
  </si>
  <si>
    <t>Mondabstand als Vielfaches des Erdradius</t>
  </si>
  <si>
    <t>Parallaxeneffekt</t>
  </si>
  <si>
    <t>mit berechneten Beobachtungsdaten ergibt sich:</t>
  </si>
  <si>
    <t>korrekte Mondentfenung um 7:11 MEZ</t>
  </si>
  <si>
    <t>lineare (Rekt.-/Dekl.)-Interpolation</t>
  </si>
  <si>
    <t>Auswertung: Mondentfernung</t>
  </si>
  <si>
    <t>omegaErde in Grad/h</t>
  </si>
  <si>
    <t>Basislänge</t>
  </si>
  <si>
    <r>
      <t>In diese Tabelle können die Mondpositionen eingesetzt werden, die an zwei aufeinander folgenden Abenden kurz nach Mondaufgang  im Abstand eines Mondtages (</t>
    </r>
    <r>
      <rPr>
        <b/>
        <sz val="10"/>
        <rFont val="Arial"/>
        <family val="2"/>
      </rPr>
      <t>24h51m</t>
    </r>
    <r>
      <rPr>
        <sz val="10"/>
        <rFont val="Arial"/>
        <family val="0"/>
      </rPr>
      <t>) und am dazwischen liegenden Morgen kurz vor Monduntergang (und Sonnenaufgang) fotografiert und ausgemessen wurden. Natürlich sind auch zwei Morgen- und eine Abendmessung möglich. Der Mond sollte möglichst lange über dem Horizont sein.</t>
    </r>
  </si>
  <si>
    <t>5. Aus den drei gemessenen Mondpositionen berechnet das Blatt "Interpolation" auf zwei leicht unterschiedliche Weisen die parallaktische Verschiebung des Mondes bei der mittleren Messung und daraus die Parallaxe des Mondes und die sich daraus ergebende Entfernung zwischen Erde und Mond.</t>
  </si>
  <si>
    <t xml:space="preserve">6. Auf dem Tabellenblatt "korrekte Parallaxenmessung" wird aus der in einer Zwischenzeit gemessenen Mondposition und dem entsprechenden durch Interpolation gewonnenen Ergebnis des "virtuellen Beobachters" am Raumpunkt der ersten Messung die Mondentfernung nach dem in "IYA-Parallaxelang.pdf" beschriebenen Verfahren berechnet. </t>
  </si>
  <si>
    <t>rMond/rErde</t>
  </si>
  <si>
    <t>min. Abstand/rMond</t>
  </si>
  <si>
    <t>Antares</t>
  </si>
  <si>
    <t>Dschubba</t>
  </si>
  <si>
    <t>eps Sco</t>
  </si>
  <si>
    <t>Graffias</t>
  </si>
  <si>
    <t>Jabbah</t>
  </si>
  <si>
    <t>Kaus Australis</t>
  </si>
  <si>
    <t>Mars 2</t>
  </si>
  <si>
    <t>nu Oph</t>
  </si>
  <si>
    <t>phi Oph</t>
  </si>
  <si>
    <t>Sabik</t>
  </si>
  <si>
    <t>Saturn1</t>
  </si>
  <si>
    <t>Saturn2</t>
  </si>
  <si>
    <t>Saturn3</t>
  </si>
  <si>
    <t>Shaula</t>
  </si>
  <si>
    <t>Yed Posterior</t>
  </si>
  <si>
    <t>Yed Prior</t>
  </si>
  <si>
    <t>zet Oph</t>
  </si>
  <si>
    <t>the Oph</t>
  </si>
  <si>
    <t>Hakos-Farm, Namibia</t>
  </si>
  <si>
    <t>Aus obigen Koordinaten berechnete Winkeldistanzen</t>
  </si>
  <si>
    <t>Als weitere Eingangsgrößen benötigt die folgende Auswertung die Chip-Parameter und die geografische Position des Beobachtungsortes.</t>
  </si>
  <si>
    <r>
      <t xml:space="preserve">In dieses Tabellenblatt müssen in die gelb unterlegten Felder </t>
    </r>
    <r>
      <rPr>
        <b/>
        <sz val="10"/>
        <color indexed="10"/>
        <rFont val="Arial"/>
        <family val="2"/>
      </rPr>
      <t>(nicht mehr als bis Zeile 24!</t>
    </r>
    <r>
      <rPr>
        <sz val="10"/>
        <color indexed="10"/>
        <rFont val="Arial"/>
        <family val="0"/>
      </rPr>
      <t>) mögliche Bezugssterne und ihre Koordinaten</t>
    </r>
    <r>
      <rPr>
        <b/>
        <sz val="10"/>
        <color indexed="10"/>
        <rFont val="Arial"/>
        <family val="2"/>
      </rPr>
      <t xml:space="preserve"> in alphabetischer Reihenfolge</t>
    </r>
    <r>
      <rPr>
        <sz val="10"/>
        <color indexed="10"/>
        <rFont val="Arial"/>
        <family val="0"/>
      </rPr>
      <t xml:space="preserve"> eingetragen werden.</t>
    </r>
  </si>
  <si>
    <r>
      <t xml:space="preserve">In die </t>
    </r>
    <r>
      <rPr>
        <b/>
        <sz val="10"/>
        <color indexed="10"/>
        <rFont val="Arial"/>
        <family val="2"/>
      </rPr>
      <t>Zeilen 27-54</t>
    </r>
    <r>
      <rPr>
        <sz val="10"/>
        <color indexed="10"/>
        <rFont val="Arial"/>
        <family val="0"/>
      </rPr>
      <t xml:space="preserve"> können beliebige Kombinationen dieser Bezugssterne eingetragen werden, für die dann in Spalte C die Winkelabstände berechnet werden.</t>
    </r>
  </si>
  <si>
    <t>Datum 1</t>
  </si>
  <si>
    <t>Uhrzeit 1 (UT)</t>
  </si>
  <si>
    <t>Datum 2</t>
  </si>
  <si>
    <t>Summe der Fehlerquadrate</t>
  </si>
  <si>
    <t>aus Koord. berechnet</t>
  </si>
  <si>
    <t>aus Pixelpos. berechnet</t>
  </si>
  <si>
    <t>Fehler-quadrate</t>
  </si>
  <si>
    <t>Datum 3</t>
  </si>
  <si>
    <t>Uhrzeit 3 (UT)</t>
  </si>
  <si>
    <r>
      <t>In den</t>
    </r>
    <r>
      <rPr>
        <b/>
        <sz val="10"/>
        <color indexed="10"/>
        <rFont val="Arial"/>
        <family val="2"/>
      </rPr>
      <t xml:space="preserve"> Zeilen 14-19</t>
    </r>
    <r>
      <rPr>
        <sz val="10"/>
        <color indexed="10"/>
        <rFont val="Arial"/>
        <family val="0"/>
      </rPr>
      <t xml:space="preserve"> müssen die auf dem Bild gemessenen Pixelpositionen des Mondes und ausgewählter Bezugssterne in alphabetischer Reihenfolge eingetragen werden. Die Schreibweise der Namen muss genau mit der in "Bezugssterne" übereinstimmen. </t>
    </r>
  </si>
  <si>
    <r>
      <t xml:space="preserve">In </t>
    </r>
    <r>
      <rPr>
        <b/>
        <sz val="10"/>
        <color indexed="10"/>
        <rFont val="Arial"/>
        <family val="2"/>
      </rPr>
      <t>Zeile 17</t>
    </r>
    <r>
      <rPr>
        <sz val="10"/>
        <color indexed="10"/>
        <rFont val="Arial"/>
        <family val="0"/>
      </rPr>
      <t xml:space="preserve"> ist - nur zum Vergleich! - die korrekte </t>
    </r>
    <r>
      <rPr>
        <i/>
        <sz val="10"/>
        <color indexed="10"/>
        <rFont val="Arial"/>
        <family val="2"/>
      </rPr>
      <t>topozentrische</t>
    </r>
    <r>
      <rPr>
        <sz val="10"/>
        <color indexed="10"/>
        <rFont val="Arial"/>
        <family val="0"/>
      </rPr>
      <t xml:space="preserve"> Mondposition zum Messzeitpunkt einzutragen.</t>
    </r>
  </si>
  <si>
    <r>
      <t>Die Werte der gemessenen Mondposition müssen aus "Positionsberechnung" (</t>
    </r>
    <r>
      <rPr>
        <b/>
        <sz val="10"/>
        <color indexed="10"/>
        <rFont val="Arial"/>
        <family val="2"/>
      </rPr>
      <t>Zellen XXX und YYY</t>
    </r>
    <r>
      <rPr>
        <sz val="10"/>
        <color indexed="10"/>
        <rFont val="Arial"/>
        <family val="0"/>
      </rPr>
      <t xml:space="preserve">)  hier in die </t>
    </r>
    <r>
      <rPr>
        <b/>
        <sz val="10"/>
        <color indexed="10"/>
        <rFont val="Arial"/>
        <family val="2"/>
      </rPr>
      <t>Zellen B22 und C22</t>
    </r>
    <r>
      <rPr>
        <sz val="10"/>
        <color indexed="10"/>
        <rFont val="Arial"/>
        <family val="0"/>
      </rPr>
      <t xml:space="preserve"> übertragen werden, nachdem sie dort berechnet worden sind.</t>
    </r>
  </si>
  <si>
    <r>
      <t>In den</t>
    </r>
    <r>
      <rPr>
        <b/>
        <sz val="10"/>
        <color indexed="10"/>
        <rFont val="Arial"/>
        <family val="2"/>
      </rPr>
      <t xml:space="preserve"> Zeilen 29-38</t>
    </r>
    <r>
      <rPr>
        <sz val="10"/>
        <color indexed="10"/>
        <rFont val="Arial"/>
        <family val="0"/>
      </rPr>
      <t xml:space="preserve"> für ausgewählte Objekt-Kombinationen die theoretischen und gemessenen Winkelabstände und berechnet. Die Brennweite in </t>
    </r>
    <r>
      <rPr>
        <b/>
        <sz val="10"/>
        <color indexed="10"/>
        <rFont val="Arial"/>
        <family val="2"/>
      </rPr>
      <t>Zelle B10</t>
    </r>
    <r>
      <rPr>
        <sz val="10"/>
        <color indexed="10"/>
        <rFont val="Arial"/>
        <family val="0"/>
      </rPr>
      <t xml:space="preserve"> ist "per Hand" so zu justieren, dass die Summe der Fehlerquadrate in </t>
    </r>
    <r>
      <rPr>
        <b/>
        <sz val="10"/>
        <color indexed="10"/>
        <rFont val="Arial"/>
        <family val="2"/>
      </rPr>
      <t>Zelle F29</t>
    </r>
    <r>
      <rPr>
        <sz val="10"/>
        <color indexed="10"/>
        <rFont val="Arial"/>
        <family val="0"/>
      </rPr>
      <t xml:space="preserve"> minimal wird.</t>
    </r>
  </si>
  <si>
    <r>
      <t>2. In die folgenden mit Datum und Uhrzeit bezeichneten Tabellenblätter ("Messblätter") müssen für jede Messung die verwendeten Bezugssterne (</t>
    </r>
    <r>
      <rPr>
        <b/>
        <sz val="10"/>
        <rFont val="Arial"/>
        <family val="2"/>
      </rPr>
      <t>in alphabetischer Reihenfolge</t>
    </r>
    <r>
      <rPr>
        <sz val="10"/>
        <rFont val="Arial"/>
        <family val="0"/>
      </rPr>
      <t xml:space="preserve">), ihre Pixelkoordinaten und die des Mondes und die Stern-Stern- und Stern-Mond-Paare, deren Positionen verwendet werden sollen, eingetragen werden. </t>
    </r>
    <r>
      <rPr>
        <sz val="10"/>
        <color indexed="10"/>
        <rFont val="Arial"/>
        <family val="2"/>
      </rPr>
      <t>Die Bezugsobjekte sollten möglichst nahe am Mond und so gewählt werden, dass das mit dem Mond gebildete Dreieck möglichst gleichseitig ist.</t>
    </r>
  </si>
  <si>
    <t>Nummer der Messung</t>
  </si>
  <si>
    <t>Bezugsobjekte für die Positionsbestimmung</t>
  </si>
  <si>
    <t>Hier müssen die beiden zur Positionsbestimmung herangezogenen Bezugsobjekte eingetragen werden.</t>
  </si>
  <si>
    <t>Winkelabstände Mond-Bezugsobjekte</t>
  </si>
  <si>
    <t>Winkelabstände zum Mond</t>
  </si>
  <si>
    <r>
      <t xml:space="preserve">(müssen aus "Positionsberechnung" Zellen </t>
    </r>
    <r>
      <rPr>
        <b/>
        <sz val="10"/>
        <color indexed="10"/>
        <rFont val="Arial"/>
        <family val="2"/>
      </rPr>
      <t>B32 und C32</t>
    </r>
    <r>
      <rPr>
        <sz val="10"/>
        <color indexed="10"/>
        <rFont val="Arial"/>
        <family val="2"/>
      </rPr>
      <t xml:space="preserve"> oder Zellen </t>
    </r>
    <r>
      <rPr>
        <b/>
        <sz val="10"/>
        <color indexed="10"/>
        <rFont val="Arial"/>
        <family val="2"/>
      </rPr>
      <t>B33 und C33</t>
    </r>
    <r>
      <rPr>
        <sz val="10"/>
        <color indexed="10"/>
        <rFont val="Arial"/>
        <family val="2"/>
      </rPr>
      <t xml:space="preserve"> übertragen werden!)</t>
    </r>
  </si>
  <si>
    <r>
      <t xml:space="preserve">(Die richtige Lösung findet man am leichtesten durch Vergleich mit der Referenzposition. </t>
    </r>
    <r>
      <rPr>
        <sz val="10"/>
        <color indexed="10"/>
        <rFont val="Arial"/>
        <family val="2"/>
      </rPr>
      <t>Sie muss in das Tabellenblatt der jeweiligen Messung übertragen werden!</t>
    </r>
    <r>
      <rPr>
        <sz val="10"/>
        <rFont val="Arial"/>
        <family val="0"/>
      </rPr>
      <t>)</t>
    </r>
  </si>
  <si>
    <t>Messung 1</t>
  </si>
  <si>
    <t>Messung 2</t>
  </si>
  <si>
    <t>Messung 3</t>
  </si>
  <si>
    <t>Uhrzeit2 (UT)</t>
  </si>
  <si>
    <t>Die theoretischen Werte führen zu einem fast exakten Ergebnis.</t>
  </si>
  <si>
    <t>(wird nach "korr. Parallaxenrechnung" Zellen I4 und J4 übertragen)</t>
  </si>
  <si>
    <t>Erdradien</t>
  </si>
  <si>
    <t>Ergebnis: Die geozentrische Mondentfernung beträgt</t>
  </si>
  <si>
    <t>=</t>
  </si>
  <si>
    <t>km.</t>
  </si>
  <si>
    <t>3. In den rot gekennzeichneten Feldern B2 der "Messblätter" sollte die Brennweite des Objektivs so verändert werden, dass die berechneten Stern-Stern-Winkelabstände möglichst gut mit den wahren Werten übereinstimmen, die Summe der Fehlerquadrate minimal ist.</t>
  </si>
  <si>
    <r>
      <t xml:space="preserve">4. Die Namen der zu verwendenden Bezugssterne und ihre gemessenen Winkelabstände zum Mond werden durch Eintrag der Nummer der Messung nacheinander automatisch in Tabellenblatt "Positionsberechnung" übertragen. Das Blatt berechnet daraus, als Lösungen einer quadratischen Gleichung, zwei mögliche Mondpositionen. Die </t>
    </r>
    <r>
      <rPr>
        <b/>
        <sz val="10"/>
        <rFont val="Arial"/>
        <family val="2"/>
      </rPr>
      <t xml:space="preserve">Zahlenwerte (!) </t>
    </r>
    <r>
      <rPr>
        <sz val="10"/>
        <rFont val="Arial"/>
        <family val="0"/>
      </rPr>
      <t>der richtigen der beiden Lösungen werden per Hand in die Messblätter übertragen.</t>
    </r>
  </si>
  <si>
    <t>In dieser Beispiel-Tabelle wird die Mondentfernung anhand von Positionsdaten bestimmt, die in Fotos gemessen wurden, die mit einer Canon 60D und einem Zoom-Objektiv 18-200 mm am 22./23. Mai 2016 auf der Hakos-Farm in Namibia aufgenommen wurden.</t>
  </si>
  <si>
    <t>Anscheinend sind die gemessenen Mondpositionen noch nicht genau genug: Der Parallaxenfehler "Interpolation" D17/18)  liegt in der Größenordnung der Fehler der Einzelmessungen.</t>
  </si>
  <si>
    <r>
      <t>In den</t>
    </r>
    <r>
      <rPr>
        <b/>
        <sz val="10"/>
        <color indexed="10"/>
        <rFont val="Arial"/>
        <family val="2"/>
      </rPr>
      <t xml:space="preserve"> Zeilen 31-40</t>
    </r>
    <r>
      <rPr>
        <sz val="10"/>
        <color indexed="10"/>
        <rFont val="Arial"/>
        <family val="0"/>
      </rPr>
      <t xml:space="preserve"> für ausgewählte Objekt-Kombinationen die theoretischen und gemessenen Winkelabstände und berechnet. Die Brennweite in </t>
    </r>
    <r>
      <rPr>
        <b/>
        <sz val="10"/>
        <color indexed="10"/>
        <rFont val="Arial"/>
        <family val="2"/>
      </rPr>
      <t>Zelle B10</t>
    </r>
    <r>
      <rPr>
        <sz val="10"/>
        <color indexed="10"/>
        <rFont val="Arial"/>
        <family val="0"/>
      </rPr>
      <t xml:space="preserve"> ist "per Hand" so zu justieren, dass die Summe der Fehlerquadrate in </t>
    </r>
    <r>
      <rPr>
        <b/>
        <sz val="10"/>
        <color indexed="10"/>
        <rFont val="Arial"/>
        <family val="2"/>
      </rPr>
      <t>Zelle F31</t>
    </r>
    <r>
      <rPr>
        <sz val="10"/>
        <color indexed="10"/>
        <rFont val="Arial"/>
        <family val="0"/>
      </rPr>
      <t xml:space="preserve"> minimal wird.</t>
    </r>
  </si>
  <si>
    <r>
      <t>Die Werte der gemessenen Mondposition müssen aus "Positionsberechnung" (</t>
    </r>
    <r>
      <rPr>
        <b/>
        <sz val="10"/>
        <color indexed="10"/>
        <rFont val="Arial"/>
        <family val="2"/>
      </rPr>
      <t>Zellen (B28/C28) oder (B29/C29)</t>
    </r>
    <r>
      <rPr>
        <sz val="10"/>
        <color indexed="10"/>
        <rFont val="Arial"/>
        <family val="0"/>
      </rPr>
      <t xml:space="preserve">)  hier in die </t>
    </r>
    <r>
      <rPr>
        <b/>
        <sz val="10"/>
        <color indexed="10"/>
        <rFont val="Arial"/>
        <family val="2"/>
      </rPr>
      <t>Zellen B26 und C26</t>
    </r>
    <r>
      <rPr>
        <sz val="10"/>
        <color indexed="10"/>
        <rFont val="Arial"/>
        <family val="0"/>
      </rPr>
      <t xml:space="preserve"> übertragen werden, nachdem sie dort berechnet worden sind.</t>
    </r>
  </si>
  <si>
    <r>
      <t xml:space="preserve">(muss so angepasst werden, dass die Summe der Fehlerquadrate in </t>
    </r>
    <r>
      <rPr>
        <b/>
        <sz val="10"/>
        <color indexed="10"/>
        <rFont val="Arial"/>
        <family val="2"/>
      </rPr>
      <t>Zelle F31</t>
    </r>
    <r>
      <rPr>
        <sz val="10"/>
        <color indexed="10"/>
        <rFont val="Arial"/>
        <family val="0"/>
      </rPr>
      <t xml:space="preserve"> minimal wird.)</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</si>
</sst>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mmm\ yyyy"/>
    <numFmt numFmtId="167" formatCode="0.0000"/>
    <numFmt numFmtId="168" formatCode="0.000E+00"/>
  </numFmts>
  <fonts count="10">
    <font>
      <sz val="10"/>
      <name val="Arial"/>
      <family val="0"/>
    </font>
    <font>
      <sz val="8"/>
      <name val="Arial"/>
      <family val="0"/>
    </font>
    <font>
      <b/>
      <sz val="10"/>
      <name val="Arial"/>
      <family val="2"/>
    </font>
    <font>
      <sz val="10"/>
      <color indexed="10"/>
      <name val="Arial"/>
      <family val="0"/>
    </font>
    <font>
      <b/>
      <sz val="10"/>
      <color indexed="10"/>
      <name val="Arial"/>
      <family val="2"/>
    </font>
    <font>
      <b/>
      <sz val="12"/>
      <name val="Arial"/>
      <family val="2"/>
    </font>
    <font>
      <b/>
      <sz val="10"/>
      <color indexed="22"/>
      <name val="Arial"/>
      <family val="2"/>
    </font>
    <font>
      <sz val="10"/>
      <color indexed="22"/>
      <name val="Arial"/>
      <family val="0"/>
    </font>
    <font>
      <i/>
      <sz val="10"/>
      <color indexed="10"/>
      <name val="Arial"/>
      <family val="2"/>
    </font>
    <font>
      <sz val="10"/>
      <color indexed="8"/>
      <name val="Arial"/>
      <family val="0"/>
    </font>
  </fonts>
  <fills count="4">
    <fill>
      <patternFill/>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0" fillId="0" borderId="0" xfId="0" applyAlignment="1" quotePrefix="1">
      <alignment/>
    </xf>
    <xf numFmtId="2" fontId="2"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0" fontId="2" fillId="0" borderId="0" xfId="0" applyFont="1" applyAlignment="1">
      <alignment/>
    </xf>
    <xf numFmtId="2" fontId="2" fillId="0" borderId="0" xfId="0" applyNumberFormat="1" applyFont="1"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Font="1" applyAlignment="1">
      <alignment/>
    </xf>
    <xf numFmtId="0" fontId="2" fillId="0" borderId="0" xfId="0" applyFont="1" applyAlignment="1">
      <alignment/>
    </xf>
    <xf numFmtId="0" fontId="0" fillId="0" borderId="0" xfId="0" applyFont="1" applyAlignment="1">
      <alignment horizontal="center"/>
    </xf>
    <xf numFmtId="2" fontId="0" fillId="2" borderId="0" xfId="0" applyNumberFormat="1" applyFont="1" applyFill="1" applyAlignment="1">
      <alignment/>
    </xf>
    <xf numFmtId="0" fontId="3" fillId="0" borderId="0" xfId="0" applyFont="1" applyAlignment="1">
      <alignment/>
    </xf>
    <xf numFmtId="0" fontId="0" fillId="2" borderId="0" xfId="0" applyFill="1" applyAlignment="1">
      <alignment/>
    </xf>
    <xf numFmtId="2" fontId="0" fillId="2" borderId="0" xfId="0" applyNumberFormat="1" applyFill="1" applyAlignment="1">
      <alignment/>
    </xf>
    <xf numFmtId="0" fontId="0" fillId="3" borderId="0" xfId="0" applyFill="1" applyAlignment="1">
      <alignment/>
    </xf>
    <xf numFmtId="0" fontId="0" fillId="0" borderId="0" xfId="0" applyFill="1" applyAlignment="1">
      <alignment/>
    </xf>
    <xf numFmtId="2" fontId="3" fillId="0" borderId="0" xfId="0" applyNumberFormat="1" applyFont="1" applyAlignment="1">
      <alignment horizontal="center"/>
    </xf>
    <xf numFmtId="0" fontId="4" fillId="0" borderId="0" xfId="0" applyFont="1" applyAlignment="1">
      <alignment/>
    </xf>
    <xf numFmtId="0" fontId="2"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xf>
    <xf numFmtId="165" fontId="0" fillId="3" borderId="0" xfId="0" applyNumberFormat="1" applyFill="1" applyAlignment="1">
      <alignment/>
    </xf>
    <xf numFmtId="0" fontId="0" fillId="0" borderId="0" xfId="0" applyAlignment="1">
      <alignment horizontal="left" wrapText="1"/>
    </xf>
    <xf numFmtId="0" fontId="0" fillId="0" borderId="0" xfId="0" applyFill="1" applyAlignment="1">
      <alignment horizontal="center"/>
    </xf>
    <xf numFmtId="2" fontId="0" fillId="0" borderId="0" xfId="0" applyNumberFormat="1" applyFont="1" applyFill="1" applyAlignment="1">
      <alignment horizontal="center"/>
    </xf>
    <xf numFmtId="0" fontId="2" fillId="0" borderId="0" xfId="0" applyFont="1" applyAlignment="1">
      <alignment horizontal="left"/>
    </xf>
    <xf numFmtId="21" fontId="0" fillId="0" borderId="0" xfId="0" applyNumberFormat="1" applyAlignment="1">
      <alignment/>
    </xf>
    <xf numFmtId="164" fontId="4" fillId="2" borderId="0" xfId="0" applyNumberFormat="1" applyFont="1" applyFill="1" applyAlignment="1">
      <alignment horizontal="center"/>
    </xf>
    <xf numFmtId="165" fontId="0" fillId="0" borderId="0" xfId="0" applyNumberFormat="1" applyFill="1" applyAlignment="1">
      <alignment horizontal="center"/>
    </xf>
    <xf numFmtId="2" fontId="2" fillId="0" borderId="0" xfId="0" applyNumberFormat="1" applyFont="1" applyAlignment="1">
      <alignment horizontal="center"/>
    </xf>
    <xf numFmtId="2" fontId="0" fillId="0" borderId="0" xfId="0" applyNumberFormat="1" applyAlignment="1">
      <alignment horizontal="left"/>
    </xf>
    <xf numFmtId="1" fontId="4" fillId="0" borderId="0" xfId="0" applyNumberFormat="1" applyFont="1" applyAlignment="1">
      <alignment horizontal="center"/>
    </xf>
    <xf numFmtId="0" fontId="6" fillId="0" borderId="0" xfId="0" applyFont="1" applyAlignment="1">
      <alignment/>
    </xf>
    <xf numFmtId="2" fontId="6"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xf>
    <xf numFmtId="164" fontId="6" fillId="0" borderId="0" xfId="0" applyNumberFormat="1" applyFont="1" applyAlignment="1">
      <alignment horizontal="center"/>
    </xf>
    <xf numFmtId="1" fontId="6" fillId="0" borderId="0" xfId="0" applyNumberFormat="1" applyFont="1" applyAlignment="1">
      <alignment horizontal="center"/>
    </xf>
    <xf numFmtId="164" fontId="2" fillId="2" borderId="0" xfId="0" applyNumberFormat="1" applyFont="1" applyFill="1" applyAlignment="1">
      <alignment horizontal="center"/>
    </xf>
    <xf numFmtId="2" fontId="0" fillId="2" borderId="0" xfId="0" applyNumberFormat="1" applyFill="1" applyAlignment="1">
      <alignment horizontal="center"/>
    </xf>
    <xf numFmtId="165" fontId="0" fillId="2" borderId="0" xfId="0" applyNumberFormat="1" applyFill="1" applyAlignment="1">
      <alignment horizontal="center"/>
    </xf>
    <xf numFmtId="0" fontId="4" fillId="2" borderId="0" xfId="0" applyFont="1" applyFill="1" applyAlignment="1">
      <alignment horizontal="center"/>
    </xf>
    <xf numFmtId="168" fontId="0" fillId="0" borderId="0" xfId="0" applyNumberFormat="1" applyAlignment="1">
      <alignment/>
    </xf>
    <xf numFmtId="2" fontId="0" fillId="0" borderId="0" xfId="0" applyNumberFormat="1" applyFill="1" applyAlignment="1">
      <alignment/>
    </xf>
    <xf numFmtId="0" fontId="0" fillId="0" borderId="0" xfId="0" applyAlignment="1">
      <alignment horizontal="left"/>
    </xf>
    <xf numFmtId="164" fontId="2" fillId="0" borderId="0" xfId="0" applyNumberFormat="1" applyFont="1" applyAlignment="1">
      <alignment horizontal="center"/>
    </xf>
    <xf numFmtId="0" fontId="2" fillId="0" borderId="0" xfId="0" applyFont="1" applyAlignment="1">
      <alignment horizontal="center" vertical="center"/>
    </xf>
    <xf numFmtId="2" fontId="0" fillId="0" borderId="0" xfId="0" applyNumberFormat="1" applyFont="1" applyAlignment="1">
      <alignment horizontal="right"/>
    </xf>
    <xf numFmtId="0" fontId="3" fillId="0" borderId="0" xfId="0" applyFont="1" applyAlignment="1">
      <alignment horizontal="left"/>
    </xf>
    <xf numFmtId="14" fontId="0" fillId="3" borderId="0" xfId="0" applyNumberFormat="1" applyFill="1" applyAlignment="1">
      <alignment/>
    </xf>
    <xf numFmtId="21" fontId="0" fillId="3" borderId="0" xfId="0" applyNumberFormat="1" applyFill="1" applyAlignment="1">
      <alignment/>
    </xf>
    <xf numFmtId="0" fontId="0" fillId="0" borderId="0" xfId="0" applyAlignment="1">
      <alignment/>
    </xf>
    <xf numFmtId="2" fontId="4" fillId="0" borderId="0" xfId="0" applyNumberFormat="1" applyFont="1" applyAlignment="1">
      <alignment/>
    </xf>
    <xf numFmtId="0" fontId="3" fillId="0" borderId="0" xfId="0" applyFont="1" applyAlignment="1">
      <alignment/>
    </xf>
    <xf numFmtId="165" fontId="0" fillId="0" borderId="0" xfId="0" applyNumberFormat="1" applyFill="1" applyAlignment="1">
      <alignment/>
    </xf>
    <xf numFmtId="2" fontId="4" fillId="3" borderId="0" xfId="0" applyNumberFormat="1" applyFont="1" applyFill="1" applyAlignment="1">
      <alignment/>
    </xf>
    <xf numFmtId="14" fontId="0" fillId="0" borderId="0" xfId="0" applyNumberFormat="1" applyFill="1" applyAlignment="1">
      <alignment horizontal="center"/>
    </xf>
    <xf numFmtId="21" fontId="0" fillId="0" borderId="0" xfId="0" applyNumberFormat="1" applyFill="1" applyAlignment="1">
      <alignment horizontal="center"/>
    </xf>
    <xf numFmtId="2" fontId="0" fillId="0" borderId="0" xfId="0" applyNumberFormat="1" applyFill="1" applyAlignment="1">
      <alignment horizontal="center"/>
    </xf>
    <xf numFmtId="2" fontId="4" fillId="0" borderId="0" xfId="0" applyNumberFormat="1" applyFont="1" applyAlignment="1">
      <alignment horizontal="center"/>
    </xf>
    <xf numFmtId="164" fontId="4" fillId="0" borderId="0" xfId="0" applyNumberFormat="1" applyFont="1" applyAlignment="1">
      <alignment/>
    </xf>
    <xf numFmtId="164" fontId="3" fillId="0" borderId="0" xfId="0" applyNumberFormat="1" applyFont="1" applyAlignment="1">
      <alignment/>
    </xf>
    <xf numFmtId="0" fontId="9" fillId="0" borderId="0" xfId="0" applyFont="1" applyAlignment="1">
      <alignment/>
    </xf>
    <xf numFmtId="49" fontId="4" fillId="0" borderId="0" xfId="0" applyNumberFormat="1" applyFont="1" applyAlignment="1">
      <alignment horizontal="center"/>
    </xf>
    <xf numFmtId="0" fontId="4" fillId="0" borderId="0" xfId="0" applyFont="1" applyAlignment="1">
      <alignment horizontal="left" vertical="center"/>
    </xf>
    <xf numFmtId="0" fontId="0" fillId="0" borderId="0" xfId="0" applyAlignment="1">
      <alignment horizontal="left" wrapText="1"/>
    </xf>
    <xf numFmtId="0" fontId="2" fillId="0" borderId="0" xfId="0" applyFont="1" applyAlignment="1">
      <alignment horizontal="left"/>
    </xf>
    <xf numFmtId="0" fontId="5"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xf>
    <xf numFmtId="0" fontId="2" fillId="3" borderId="0" xfId="0" applyFont="1" applyFill="1" applyAlignment="1">
      <alignment horizontal="center"/>
    </xf>
    <xf numFmtId="0" fontId="3" fillId="0" borderId="0" xfId="0" applyFont="1" applyAlignment="1">
      <alignment horizontal="left"/>
    </xf>
    <xf numFmtId="0" fontId="0" fillId="0" borderId="0" xfId="0" applyAlignment="1">
      <alignment horizontal="center" wrapText="1"/>
    </xf>
    <xf numFmtId="0" fontId="3" fillId="0" borderId="0" xfId="0" applyFont="1" applyAlignment="1">
      <alignment horizontal="left"/>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3" fillId="0" borderId="0" xfId="0" applyFont="1" applyAlignment="1">
      <alignment horizontal="left" wrapText="1"/>
    </xf>
    <xf numFmtId="164" fontId="2" fillId="0" borderId="0" xfId="0" applyNumberFormat="1" applyFont="1" applyAlignment="1">
      <alignment horizontal="center"/>
    </xf>
    <xf numFmtId="0" fontId="2" fillId="0" borderId="0" xfId="0" applyFont="1" applyAlignment="1">
      <alignment horizontal="center" vertical="center"/>
    </xf>
    <xf numFmtId="0" fontId="4" fillId="0" borderId="0" xfId="0" applyFont="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do\Astronomie\Probleme\taeglMondparallaxe\Dezember2015\evaluationMo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ata"/>
      <sheetName val="calculation"/>
    </sheetNames>
    <sheetDataSet>
      <sheetData sheetId="1">
        <row r="34">
          <cell r="J34">
            <v>20</v>
          </cell>
          <cell r="K34">
            <v>20</v>
          </cell>
        </row>
        <row r="35">
          <cell r="J35">
            <v>51.434</v>
          </cell>
          <cell r="K35">
            <v>-22.479</v>
          </cell>
        </row>
        <row r="36">
          <cell r="J36">
            <v>7</v>
          </cell>
          <cell r="K36">
            <v>14.95</v>
          </cell>
        </row>
        <row r="37">
          <cell r="J37">
            <v>250</v>
          </cell>
          <cell r="K37">
            <v>750</v>
          </cell>
        </row>
        <row r="38">
          <cell r="J38">
            <v>650</v>
          </cell>
          <cell r="K38">
            <v>50</v>
          </cell>
        </row>
        <row r="39">
          <cell r="J39">
            <v>1906</v>
          </cell>
          <cell r="K39">
            <v>2638</v>
          </cell>
        </row>
        <row r="40">
          <cell r="J40">
            <v>908</v>
          </cell>
          <cell r="K40">
            <v>1070</v>
          </cell>
        </row>
        <row r="41">
          <cell r="J41">
            <v>1278</v>
          </cell>
          <cell r="K41">
            <v>1836</v>
          </cell>
        </row>
        <row r="42">
          <cell r="J42">
            <v>1338</v>
          </cell>
          <cell r="K42">
            <v>1228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M33"/>
  <sheetViews>
    <sheetView workbookViewId="0" topLeftCell="A4">
      <selection activeCell="A34" sqref="A34"/>
    </sheetView>
  </sheetViews>
  <sheetFormatPr defaultColWidth="11.421875" defaultRowHeight="12.75"/>
  <sheetData>
    <row r="3" spans="1:13" ht="15.75">
      <c r="A3" s="72" t="s">
        <v>91</v>
      </c>
      <c r="B3" s="72"/>
      <c r="C3" s="72"/>
      <c r="D3" s="72"/>
      <c r="E3" s="72"/>
      <c r="F3" s="72"/>
      <c r="G3" s="72"/>
      <c r="H3" s="72"/>
      <c r="I3" s="72"/>
      <c r="J3" s="72"/>
      <c r="K3" s="72"/>
      <c r="L3" s="72"/>
      <c r="M3" s="72"/>
    </row>
    <row r="5" spans="1:13" ht="12.75">
      <c r="A5" s="70" t="s">
        <v>158</v>
      </c>
      <c r="B5" s="70"/>
      <c r="C5" s="70"/>
      <c r="D5" s="70"/>
      <c r="E5" s="70"/>
      <c r="F5" s="70"/>
      <c r="G5" s="70"/>
      <c r="H5" s="70"/>
      <c r="I5" s="70"/>
      <c r="J5" s="70"/>
      <c r="K5" s="70"/>
      <c r="L5" s="70"/>
      <c r="M5" s="70"/>
    </row>
    <row r="6" spans="1:13" ht="12.75">
      <c r="A6" s="70"/>
      <c r="B6" s="70"/>
      <c r="C6" s="70"/>
      <c r="D6" s="70"/>
      <c r="E6" s="70"/>
      <c r="F6" s="70"/>
      <c r="G6" s="70"/>
      <c r="H6" s="70"/>
      <c r="I6" s="70"/>
      <c r="J6" s="70"/>
      <c r="K6" s="70"/>
      <c r="L6" s="70"/>
      <c r="M6" s="70"/>
    </row>
    <row r="7" spans="1:13" ht="12.75">
      <c r="A7" s="70"/>
      <c r="B7" s="70"/>
      <c r="C7" s="70"/>
      <c r="D7" s="70"/>
      <c r="E7" s="70"/>
      <c r="F7" s="70"/>
      <c r="G7" s="70"/>
      <c r="H7" s="70"/>
      <c r="I7" s="70"/>
      <c r="J7" s="70"/>
      <c r="K7" s="70"/>
      <c r="L7" s="70"/>
      <c r="M7" s="70"/>
    </row>
    <row r="9" spans="1:2" ht="12.75">
      <c r="A9" s="71" t="s">
        <v>92</v>
      </c>
      <c r="B9" s="71"/>
    </row>
    <row r="10" spans="1:2" ht="12.75">
      <c r="A10" s="30"/>
      <c r="B10" s="30"/>
    </row>
    <row r="11" spans="1:13" ht="12.75">
      <c r="A11" s="70" t="s">
        <v>93</v>
      </c>
      <c r="B11" s="70"/>
      <c r="C11" s="70"/>
      <c r="D11" s="70"/>
      <c r="E11" s="70"/>
      <c r="F11" s="70"/>
      <c r="G11" s="70"/>
      <c r="H11" s="70"/>
      <c r="I11" s="70"/>
      <c r="J11" s="70"/>
      <c r="K11" s="70"/>
      <c r="L11" s="70"/>
      <c r="M11" s="70"/>
    </row>
    <row r="12" spans="1:13" ht="12.75">
      <c r="A12" s="70"/>
      <c r="B12" s="70"/>
      <c r="C12" s="70"/>
      <c r="D12" s="70"/>
      <c r="E12" s="70"/>
      <c r="F12" s="70"/>
      <c r="G12" s="70"/>
      <c r="H12" s="70"/>
      <c r="I12" s="70"/>
      <c r="J12" s="70"/>
      <c r="K12" s="70"/>
      <c r="L12" s="70"/>
      <c r="M12" s="70"/>
    </row>
    <row r="13" spans="1:13" ht="12.75">
      <c r="A13" s="27"/>
      <c r="B13" s="27"/>
      <c r="C13" s="27"/>
      <c r="D13" s="27"/>
      <c r="E13" s="27"/>
      <c r="F13" s="27"/>
      <c r="G13" s="27"/>
      <c r="H13" s="27"/>
      <c r="I13" s="27"/>
      <c r="J13" s="27"/>
      <c r="K13" s="27"/>
      <c r="L13" s="27"/>
      <c r="M13" s="27"/>
    </row>
    <row r="14" spans="1:13" ht="12.75" customHeight="1">
      <c r="A14" s="70" t="s">
        <v>199</v>
      </c>
      <c r="B14" s="70"/>
      <c r="C14" s="70"/>
      <c r="D14" s="70"/>
      <c r="E14" s="70"/>
      <c r="F14" s="70"/>
      <c r="G14" s="70"/>
      <c r="H14" s="70"/>
      <c r="I14" s="70"/>
      <c r="J14" s="70"/>
      <c r="K14" s="70"/>
      <c r="L14" s="70"/>
      <c r="M14" s="70"/>
    </row>
    <row r="15" spans="1:13" ht="12.75">
      <c r="A15" s="70"/>
      <c r="B15" s="70"/>
      <c r="C15" s="70"/>
      <c r="D15" s="70"/>
      <c r="E15" s="70"/>
      <c r="F15" s="70"/>
      <c r="G15" s="70"/>
      <c r="H15" s="70"/>
      <c r="I15" s="70"/>
      <c r="J15" s="70"/>
      <c r="K15" s="70"/>
      <c r="L15" s="70"/>
      <c r="M15" s="70"/>
    </row>
    <row r="16" spans="1:13" ht="12.75">
      <c r="A16" s="70"/>
      <c r="B16" s="70"/>
      <c r="C16" s="70"/>
      <c r="D16" s="70"/>
      <c r="E16" s="70"/>
      <c r="F16" s="70"/>
      <c r="G16" s="70"/>
      <c r="H16" s="70"/>
      <c r="I16" s="70"/>
      <c r="J16" s="70"/>
      <c r="K16" s="70"/>
      <c r="L16" s="70"/>
      <c r="M16" s="70"/>
    </row>
    <row r="17" spans="1:13" ht="12.75">
      <c r="A17" s="27"/>
      <c r="B17" s="27"/>
      <c r="C17" s="27"/>
      <c r="D17" s="27"/>
      <c r="E17" s="27"/>
      <c r="F17" s="27"/>
      <c r="G17" s="27"/>
      <c r="H17" s="27"/>
      <c r="I17" s="27"/>
      <c r="J17" s="27"/>
      <c r="K17" s="27"/>
      <c r="L17" s="27"/>
      <c r="M17" s="27"/>
    </row>
    <row r="18" spans="1:13" ht="12.75">
      <c r="A18" s="70" t="s">
        <v>217</v>
      </c>
      <c r="B18" s="70"/>
      <c r="C18" s="70"/>
      <c r="D18" s="70"/>
      <c r="E18" s="70"/>
      <c r="F18" s="70"/>
      <c r="G18" s="70"/>
      <c r="H18" s="70"/>
      <c r="I18" s="70"/>
      <c r="J18" s="70"/>
      <c r="K18" s="70"/>
      <c r="L18" s="70"/>
      <c r="M18" s="70"/>
    </row>
    <row r="19" spans="1:13" ht="12.75">
      <c r="A19" s="70"/>
      <c r="B19" s="70"/>
      <c r="C19" s="70"/>
      <c r="D19" s="70"/>
      <c r="E19" s="70"/>
      <c r="F19" s="70"/>
      <c r="G19" s="70"/>
      <c r="H19" s="70"/>
      <c r="I19" s="70"/>
      <c r="J19" s="70"/>
      <c r="K19" s="70"/>
      <c r="L19" s="70"/>
      <c r="M19" s="70"/>
    </row>
    <row r="20" spans="1:13" ht="12.75">
      <c r="A20" s="27"/>
      <c r="B20" s="27"/>
      <c r="C20" s="27"/>
      <c r="D20" s="27"/>
      <c r="E20" s="27"/>
      <c r="F20" s="27"/>
      <c r="G20" s="27"/>
      <c r="H20" s="27"/>
      <c r="I20" s="27"/>
      <c r="J20" s="27"/>
      <c r="K20" s="27"/>
      <c r="L20" s="27"/>
      <c r="M20" s="27"/>
    </row>
    <row r="21" spans="1:13" ht="12.75" customHeight="1">
      <c r="A21" s="70" t="s">
        <v>218</v>
      </c>
      <c r="B21" s="70"/>
      <c r="C21" s="70"/>
      <c r="D21" s="70"/>
      <c r="E21" s="70"/>
      <c r="F21" s="70"/>
      <c r="G21" s="70"/>
      <c r="H21" s="70"/>
      <c r="I21" s="70"/>
      <c r="J21" s="70"/>
      <c r="K21" s="70"/>
      <c r="L21" s="70"/>
      <c r="M21" s="70"/>
    </row>
    <row r="22" spans="1:13" ht="12.75">
      <c r="A22" s="70"/>
      <c r="B22" s="70"/>
      <c r="C22" s="70"/>
      <c r="D22" s="70"/>
      <c r="E22" s="70"/>
      <c r="F22" s="70"/>
      <c r="G22" s="70"/>
      <c r="H22" s="70"/>
      <c r="I22" s="70"/>
      <c r="J22" s="70"/>
      <c r="K22" s="70"/>
      <c r="L22" s="70"/>
      <c r="M22" s="70"/>
    </row>
    <row r="23" spans="1:13" ht="12.75">
      <c r="A23" s="70"/>
      <c r="B23" s="70"/>
      <c r="C23" s="70"/>
      <c r="D23" s="70"/>
      <c r="E23" s="70"/>
      <c r="F23" s="70"/>
      <c r="G23" s="70"/>
      <c r="H23" s="70"/>
      <c r="I23" s="70"/>
      <c r="J23" s="70"/>
      <c r="K23" s="70"/>
      <c r="L23" s="70"/>
      <c r="M23" s="70"/>
    </row>
    <row r="24" spans="1:13" ht="12.75">
      <c r="A24" s="27"/>
      <c r="B24" s="27"/>
      <c r="C24" s="27"/>
      <c r="D24" s="27"/>
      <c r="E24" s="27"/>
      <c r="F24" s="27"/>
      <c r="G24" s="27"/>
      <c r="H24" s="27"/>
      <c r="I24" s="27"/>
      <c r="J24" s="27"/>
      <c r="K24" s="27"/>
      <c r="L24" s="27"/>
      <c r="M24" s="27"/>
    </row>
    <row r="25" spans="1:13" ht="12.75">
      <c r="A25" s="70" t="s">
        <v>159</v>
      </c>
      <c r="B25" s="70"/>
      <c r="C25" s="70"/>
      <c r="D25" s="70"/>
      <c r="E25" s="70"/>
      <c r="F25" s="70"/>
      <c r="G25" s="70"/>
      <c r="H25" s="70"/>
      <c r="I25" s="70"/>
      <c r="J25" s="70"/>
      <c r="K25" s="70"/>
      <c r="L25" s="70"/>
      <c r="M25" s="70"/>
    </row>
    <row r="26" spans="1:13" ht="12.75">
      <c r="A26" s="70"/>
      <c r="B26" s="70"/>
      <c r="C26" s="70"/>
      <c r="D26" s="70"/>
      <c r="E26" s="70"/>
      <c r="F26" s="70"/>
      <c r="G26" s="70"/>
      <c r="H26" s="70"/>
      <c r="I26" s="70"/>
      <c r="J26" s="70"/>
      <c r="K26" s="70"/>
      <c r="L26" s="70"/>
      <c r="M26" s="70"/>
    </row>
    <row r="28" spans="1:13" ht="12.75">
      <c r="A28" s="73" t="s">
        <v>160</v>
      </c>
      <c r="B28" s="73"/>
      <c r="C28" s="73"/>
      <c r="D28" s="73"/>
      <c r="E28" s="73"/>
      <c r="F28" s="73"/>
      <c r="G28" s="73"/>
      <c r="H28" s="73"/>
      <c r="I28" s="73"/>
      <c r="J28" s="73"/>
      <c r="K28" s="73"/>
      <c r="L28" s="73"/>
      <c r="M28" s="73"/>
    </row>
    <row r="29" spans="1:13" ht="12.75">
      <c r="A29" s="73"/>
      <c r="B29" s="73"/>
      <c r="C29" s="73"/>
      <c r="D29" s="73"/>
      <c r="E29" s="73"/>
      <c r="F29" s="73"/>
      <c r="G29" s="73"/>
      <c r="H29" s="73"/>
      <c r="I29" s="73"/>
      <c r="J29" s="73"/>
      <c r="K29" s="73"/>
      <c r="L29" s="73"/>
      <c r="M29" s="73"/>
    </row>
    <row r="32" spans="1:13" ht="12.75">
      <c r="A32" s="74" t="s">
        <v>219</v>
      </c>
      <c r="B32" s="74"/>
      <c r="C32" s="74"/>
      <c r="D32" s="74"/>
      <c r="E32" s="74"/>
      <c r="F32" s="74"/>
      <c r="G32" s="74"/>
      <c r="H32" s="74"/>
      <c r="I32" s="74"/>
      <c r="J32" s="74"/>
      <c r="K32" s="74"/>
      <c r="L32" s="74"/>
      <c r="M32" s="74"/>
    </row>
    <row r="33" spans="1:13" ht="12.75">
      <c r="A33" s="74"/>
      <c r="B33" s="74"/>
      <c r="C33" s="74"/>
      <c r="D33" s="74"/>
      <c r="E33" s="74"/>
      <c r="F33" s="74"/>
      <c r="G33" s="74"/>
      <c r="H33" s="74"/>
      <c r="I33" s="74"/>
      <c r="J33" s="74"/>
      <c r="K33" s="74"/>
      <c r="L33" s="74"/>
      <c r="M33" s="74"/>
    </row>
  </sheetData>
  <mergeCells count="10">
    <mergeCell ref="A28:M29"/>
    <mergeCell ref="A32:M33"/>
    <mergeCell ref="A18:M19"/>
    <mergeCell ref="A21:M23"/>
    <mergeCell ref="A25:M26"/>
    <mergeCell ref="A14:M16"/>
    <mergeCell ref="A9:B9"/>
    <mergeCell ref="A5:M7"/>
    <mergeCell ref="A3:M3"/>
    <mergeCell ref="A11:M12"/>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workbookViewId="0" topLeftCell="A1">
      <selection activeCell="C28" sqref="C28"/>
    </sheetView>
  </sheetViews>
  <sheetFormatPr defaultColWidth="11.421875" defaultRowHeight="12.75"/>
  <cols>
    <col min="1" max="1" width="26.7109375" style="0" customWidth="1"/>
    <col min="11" max="11" width="22.00390625" style="0" customWidth="1"/>
  </cols>
  <sheetData>
    <row r="1" spans="1:13" ht="12.75">
      <c r="A1" s="77" t="s">
        <v>184</v>
      </c>
      <c r="B1" s="77"/>
      <c r="C1" s="77"/>
      <c r="D1" s="77"/>
      <c r="E1" s="77"/>
      <c r="F1" s="77"/>
      <c r="G1" s="77"/>
      <c r="H1" s="77"/>
      <c r="I1" s="77"/>
      <c r="J1" s="77"/>
      <c r="K1" s="77"/>
      <c r="L1" s="77"/>
      <c r="M1" s="77"/>
    </row>
    <row r="2" spans="1:13" ht="12.75">
      <c r="A2" s="77" t="s">
        <v>185</v>
      </c>
      <c r="B2" s="77"/>
      <c r="C2" s="77"/>
      <c r="D2" s="77"/>
      <c r="E2" s="77"/>
      <c r="F2" s="77"/>
      <c r="G2" s="77"/>
      <c r="H2" s="77"/>
      <c r="I2" s="77"/>
      <c r="J2" s="77"/>
      <c r="K2" s="77"/>
      <c r="L2" s="77"/>
      <c r="M2" s="77"/>
    </row>
    <row r="3" spans="1:13" ht="12.75">
      <c r="A3" s="77" t="s">
        <v>183</v>
      </c>
      <c r="B3" s="77"/>
      <c r="C3" s="77"/>
      <c r="D3" s="77"/>
      <c r="E3" s="77"/>
      <c r="F3" s="77"/>
      <c r="G3" s="77"/>
      <c r="H3" s="77"/>
      <c r="I3" s="77"/>
      <c r="J3" s="77"/>
      <c r="K3" s="77"/>
      <c r="L3" s="77"/>
      <c r="M3" s="77"/>
    </row>
    <row r="4" spans="1:13" ht="12.75">
      <c r="A4" s="53"/>
      <c r="B4" s="53"/>
      <c r="C4" s="53"/>
      <c r="D4" s="53"/>
      <c r="E4" s="53"/>
      <c r="F4" s="53"/>
      <c r="G4" s="53"/>
      <c r="H4" s="53"/>
      <c r="I4" s="53"/>
      <c r="J4" s="53"/>
      <c r="K4" s="53"/>
      <c r="L4" s="53"/>
      <c r="M4" s="53"/>
    </row>
    <row r="5" spans="2:9" ht="12.75">
      <c r="B5" s="75" t="s">
        <v>6</v>
      </c>
      <c r="C5" s="75"/>
      <c r="D5" s="75"/>
      <c r="E5" s="75"/>
      <c r="F5" s="75" t="s">
        <v>7</v>
      </c>
      <c r="G5" s="75"/>
      <c r="H5" s="75"/>
      <c r="I5" s="75"/>
    </row>
    <row r="6" spans="2:13" ht="12.75">
      <c r="B6" t="s">
        <v>0</v>
      </c>
      <c r="C6" t="s">
        <v>1</v>
      </c>
      <c r="D6" t="s">
        <v>2</v>
      </c>
      <c r="E6" t="s">
        <v>3</v>
      </c>
      <c r="F6" t="s">
        <v>3</v>
      </c>
      <c r="G6" s="1" t="s">
        <v>4</v>
      </c>
      <c r="H6" t="s">
        <v>5</v>
      </c>
      <c r="I6" t="s">
        <v>3</v>
      </c>
      <c r="K6" s="75" t="s">
        <v>50</v>
      </c>
      <c r="L6" s="75"/>
      <c r="M6" s="75"/>
    </row>
    <row r="7" spans="1:12" ht="12.75">
      <c r="A7" s="16" t="s">
        <v>163</v>
      </c>
      <c r="B7" s="16">
        <v>16</v>
      </c>
      <c r="C7" s="16">
        <v>29</v>
      </c>
      <c r="D7" s="16">
        <v>24.46</v>
      </c>
      <c r="E7" s="2">
        <f>((D7/60+C7)/60+B7)*15</f>
        <v>247.35191666666668</v>
      </c>
      <c r="F7" s="16">
        <v>-26</v>
      </c>
      <c r="G7" s="16">
        <v>25</v>
      </c>
      <c r="H7" s="16">
        <v>55.39</v>
      </c>
      <c r="I7" s="2">
        <f>IF(F7&gt;0,(G7+H7/60)/60+F7,-(G7+H7/60)/60+F7)</f>
        <v>-26.432052777777777</v>
      </c>
      <c r="K7" s="17" t="s">
        <v>9</v>
      </c>
      <c r="L7" s="16">
        <v>0.0043</v>
      </c>
    </row>
    <row r="8" spans="1:12" ht="12.75">
      <c r="A8" s="16" t="s">
        <v>164</v>
      </c>
      <c r="B8" s="16">
        <v>16</v>
      </c>
      <c r="C8" s="16">
        <v>0</v>
      </c>
      <c r="D8" s="16">
        <v>20</v>
      </c>
      <c r="E8" s="2">
        <f aca="true" t="shared" si="0" ref="E8:E16">((D8/60+C8)/60+B8)*15</f>
        <v>240.08333333333334</v>
      </c>
      <c r="F8" s="16">
        <v>-22</v>
      </c>
      <c r="G8" s="16">
        <v>37</v>
      </c>
      <c r="H8" s="16">
        <v>18.77</v>
      </c>
      <c r="I8" s="2">
        <f aca="true" t="shared" si="1" ref="I8:I16">IF(F8&gt;0,(G8+H8/60)/60+F8,-(G8+H8/60)/60+F8)</f>
        <v>-22.621880555555556</v>
      </c>
      <c r="K8" s="17" t="s">
        <v>83</v>
      </c>
      <c r="L8" s="16">
        <v>5184</v>
      </c>
    </row>
    <row r="9" spans="1:12" ht="12.75">
      <c r="A9" s="16" t="s">
        <v>165</v>
      </c>
      <c r="B9" s="16">
        <v>16</v>
      </c>
      <c r="C9" s="16">
        <v>50</v>
      </c>
      <c r="D9" s="16">
        <v>9</v>
      </c>
      <c r="E9" s="2">
        <f t="shared" si="0"/>
        <v>252.5375</v>
      </c>
      <c r="F9" s="16">
        <v>-34</v>
      </c>
      <c r="G9" s="16">
        <v>17</v>
      </c>
      <c r="H9" s="16">
        <v>39.82</v>
      </c>
      <c r="I9" s="2">
        <f t="shared" si="1"/>
        <v>-34.29439444444444</v>
      </c>
      <c r="K9" s="17" t="s">
        <v>84</v>
      </c>
      <c r="L9" s="16">
        <v>3456</v>
      </c>
    </row>
    <row r="10" spans="1:12" ht="12.75">
      <c r="A10" s="16" t="s">
        <v>166</v>
      </c>
      <c r="B10" s="16">
        <v>16</v>
      </c>
      <c r="C10" s="16">
        <v>5</v>
      </c>
      <c r="D10" s="16">
        <v>26.22</v>
      </c>
      <c r="E10" s="2">
        <f t="shared" si="0"/>
        <v>241.35924999999997</v>
      </c>
      <c r="F10" s="16">
        <v>-19</v>
      </c>
      <c r="G10" s="16">
        <v>48</v>
      </c>
      <c r="H10" s="16">
        <v>20.05</v>
      </c>
      <c r="I10" s="2">
        <f t="shared" si="1"/>
        <v>-19.805569444444444</v>
      </c>
      <c r="K10" s="17" t="s">
        <v>89</v>
      </c>
      <c r="L10" s="16">
        <v>30</v>
      </c>
    </row>
    <row r="11" spans="1:12" ht="12.75">
      <c r="A11" s="16" t="s">
        <v>167</v>
      </c>
      <c r="B11" s="16">
        <v>16</v>
      </c>
      <c r="C11" s="16">
        <v>11</v>
      </c>
      <c r="D11" s="16">
        <v>59.72</v>
      </c>
      <c r="E11" s="2">
        <f>((D11/60+C11)/60+B11)*15</f>
        <v>242.99883333333335</v>
      </c>
      <c r="F11" s="16">
        <v>-19</v>
      </c>
      <c r="G11" s="16">
        <v>27</v>
      </c>
      <c r="H11" s="16">
        <v>38.97</v>
      </c>
      <c r="I11" s="2">
        <f>IF(F11&gt;0,(G11+H11/60)/60+F11,-(G11+H11/60)/60+F11)</f>
        <v>-19.460825</v>
      </c>
      <c r="K11" t="s">
        <v>11</v>
      </c>
      <c r="L11">
        <f>L8/2</f>
        <v>2592</v>
      </c>
    </row>
    <row r="12" spans="1:12" ht="12.75">
      <c r="A12" s="16" t="s">
        <v>168</v>
      </c>
      <c r="B12" s="16">
        <v>18</v>
      </c>
      <c r="C12" s="16">
        <v>24</v>
      </c>
      <c r="D12" s="16">
        <v>10.27</v>
      </c>
      <c r="E12" s="2">
        <f t="shared" si="0"/>
        <v>276.0427916666667</v>
      </c>
      <c r="F12" s="16">
        <v>-34</v>
      </c>
      <c r="G12" s="16">
        <v>23</v>
      </c>
      <c r="H12" s="16">
        <v>6.66</v>
      </c>
      <c r="I12" s="2">
        <f t="shared" si="1"/>
        <v>-34.38518333333333</v>
      </c>
      <c r="K12" t="s">
        <v>12</v>
      </c>
      <c r="L12">
        <f>L9/2</f>
        <v>1728</v>
      </c>
    </row>
    <row r="13" spans="1:12" ht="12.75">
      <c r="A13" s="16" t="s">
        <v>169</v>
      </c>
      <c r="B13" s="16">
        <v>15</v>
      </c>
      <c r="C13" s="16">
        <v>55</v>
      </c>
      <c r="D13" s="16">
        <v>39.45</v>
      </c>
      <c r="E13" s="2">
        <f t="shared" si="0"/>
        <v>238.914375</v>
      </c>
      <c r="F13" s="16">
        <v>-21</v>
      </c>
      <c r="G13" s="16">
        <v>35</v>
      </c>
      <c r="H13" s="16">
        <v>24.43</v>
      </c>
      <c r="I13" s="2">
        <f t="shared" si="1"/>
        <v>-21.590119444444444</v>
      </c>
      <c r="K13" t="s">
        <v>3</v>
      </c>
      <c r="L13">
        <f>PI()/180</f>
        <v>0.017453292519943295</v>
      </c>
    </row>
    <row r="14" spans="1:12" ht="12.75">
      <c r="A14" s="16" t="s">
        <v>170</v>
      </c>
      <c r="B14" s="16">
        <v>17</v>
      </c>
      <c r="C14" s="16">
        <v>59</v>
      </c>
      <c r="D14" s="16">
        <v>1.58</v>
      </c>
      <c r="E14" s="2">
        <f t="shared" si="0"/>
        <v>269.7565833333333</v>
      </c>
      <c r="F14" s="16">
        <v>-9</v>
      </c>
      <c r="G14" s="16">
        <v>46</v>
      </c>
      <c r="H14" s="16">
        <v>26.95</v>
      </c>
      <c r="I14" s="2">
        <f t="shared" si="1"/>
        <v>-9.774152777777777</v>
      </c>
      <c r="K14" t="s">
        <v>86</v>
      </c>
      <c r="L14">
        <f>xM*2*Massstab</f>
        <v>22.2912</v>
      </c>
    </row>
    <row r="15" spans="1:12" ht="12.75">
      <c r="A15" s="16" t="s">
        <v>171</v>
      </c>
      <c r="B15" s="16">
        <v>16</v>
      </c>
      <c r="C15" s="16">
        <v>31</v>
      </c>
      <c r="D15" s="16">
        <v>8.32</v>
      </c>
      <c r="E15" s="2">
        <f t="shared" si="0"/>
        <v>247.78466666666668</v>
      </c>
      <c r="F15" s="16">
        <v>-16</v>
      </c>
      <c r="G15" s="16">
        <v>36</v>
      </c>
      <c r="H15" s="16">
        <v>46.45</v>
      </c>
      <c r="I15" s="2">
        <f t="shared" si="1"/>
        <v>-16.612902777777776</v>
      </c>
      <c r="K15" t="s">
        <v>87</v>
      </c>
      <c r="L15">
        <f>3456*Massstab</f>
        <v>14.8608</v>
      </c>
    </row>
    <row r="16" spans="1:12" ht="12.75">
      <c r="A16" s="16" t="s">
        <v>172</v>
      </c>
      <c r="B16" s="16">
        <v>17</v>
      </c>
      <c r="C16" s="16">
        <v>10</v>
      </c>
      <c r="D16" s="16">
        <v>22.73</v>
      </c>
      <c r="E16" s="2">
        <f t="shared" si="0"/>
        <v>257.5947083333333</v>
      </c>
      <c r="F16" s="16">
        <v>-15</v>
      </c>
      <c r="G16" s="16">
        <v>43</v>
      </c>
      <c r="H16" s="16">
        <v>28.12</v>
      </c>
      <c r="I16" s="2">
        <f t="shared" si="1"/>
        <v>-15.724477777777778</v>
      </c>
      <c r="K16" t="s">
        <v>88</v>
      </c>
      <c r="L16">
        <f>SQRT(L14^2+L15^2)</f>
        <v>26.790688197207626</v>
      </c>
    </row>
    <row r="17" spans="1:12" ht="12.75">
      <c r="A17" s="16" t="s">
        <v>173</v>
      </c>
      <c r="B17" s="16">
        <v>16</v>
      </c>
      <c r="C17" s="16">
        <v>50</v>
      </c>
      <c r="D17" s="16">
        <v>21.29</v>
      </c>
      <c r="E17" s="2">
        <f aca="true" t="shared" si="2" ref="E17:E24">((D17/60+C17)/60+B17)*15</f>
        <v>252.58870833333336</v>
      </c>
      <c r="F17" s="16">
        <v>-20</v>
      </c>
      <c r="G17" s="16">
        <v>38</v>
      </c>
      <c r="H17" s="16">
        <v>52.25</v>
      </c>
      <c r="I17" s="2">
        <f aca="true" t="shared" si="3" ref="I17:I24">IF(F17&gt;0,(G17+H17/60)/60+F17,-(G17+H17/60)/60+F17)</f>
        <v>-20.64784722222222</v>
      </c>
      <c r="K17" t="s">
        <v>82</v>
      </c>
      <c r="L17">
        <f>ATAN(L16/2/11)*2/Grad</f>
        <v>101.21563091869366</v>
      </c>
    </row>
    <row r="18" spans="1:9" ht="12.75">
      <c r="A18" s="16" t="s">
        <v>174</v>
      </c>
      <c r="B18" s="16">
        <v>16</v>
      </c>
      <c r="C18" s="16">
        <v>50</v>
      </c>
      <c r="D18" s="16">
        <v>12.85</v>
      </c>
      <c r="E18" s="2">
        <f t="shared" si="2"/>
        <v>252.55354166666666</v>
      </c>
      <c r="F18" s="16">
        <v>-20</v>
      </c>
      <c r="G18" s="16">
        <v>38</v>
      </c>
      <c r="H18" s="16">
        <v>38.94</v>
      </c>
      <c r="I18" s="2">
        <f t="shared" si="3"/>
        <v>-20.64415</v>
      </c>
    </row>
    <row r="19" spans="1:13" ht="12.75">
      <c r="A19" s="16" t="s">
        <v>175</v>
      </c>
      <c r="B19" s="16">
        <v>16</v>
      </c>
      <c r="C19" s="16">
        <v>50</v>
      </c>
      <c r="D19" s="16">
        <v>2.4</v>
      </c>
      <c r="E19" s="2">
        <f t="shared" si="2"/>
        <v>252.51</v>
      </c>
      <c r="F19" s="16">
        <v>-20</v>
      </c>
      <c r="G19" s="16">
        <v>38</v>
      </c>
      <c r="H19" s="16">
        <v>22</v>
      </c>
      <c r="I19" s="2">
        <f t="shared" si="3"/>
        <v>-20.639444444444443</v>
      </c>
      <c r="K19" s="17" t="s">
        <v>85</v>
      </c>
      <c r="L19" s="17" t="s">
        <v>77</v>
      </c>
      <c r="M19" s="17" t="s">
        <v>78</v>
      </c>
    </row>
    <row r="20" spans="1:13" ht="12.75">
      <c r="A20" s="16" t="s">
        <v>176</v>
      </c>
      <c r="B20" s="16">
        <v>17</v>
      </c>
      <c r="C20" s="16">
        <v>33</v>
      </c>
      <c r="D20" s="16">
        <v>36.51</v>
      </c>
      <c r="E20" s="2">
        <f t="shared" si="2"/>
        <v>263.402125</v>
      </c>
      <c r="F20" s="16">
        <v>-37</v>
      </c>
      <c r="G20" s="16">
        <v>6</v>
      </c>
      <c r="H20" s="16">
        <v>14.25</v>
      </c>
      <c r="I20" s="2">
        <f t="shared" si="3"/>
        <v>-37.10395833333333</v>
      </c>
      <c r="K20" s="17" t="s">
        <v>181</v>
      </c>
      <c r="L20" s="26">
        <v>-23.2</v>
      </c>
      <c r="M20" s="16">
        <v>16.3</v>
      </c>
    </row>
    <row r="21" spans="1:9" ht="12.75">
      <c r="A21" s="16" t="s">
        <v>180</v>
      </c>
      <c r="B21" s="16">
        <v>17</v>
      </c>
      <c r="C21" s="16">
        <v>22</v>
      </c>
      <c r="D21" s="16">
        <v>0.57</v>
      </c>
      <c r="E21" s="2">
        <f t="shared" si="2"/>
        <v>260.502375</v>
      </c>
      <c r="F21" s="16">
        <v>-24</v>
      </c>
      <c r="G21" s="16">
        <v>59</v>
      </c>
      <c r="H21" s="16">
        <v>58.75</v>
      </c>
      <c r="I21" s="2">
        <f t="shared" si="3"/>
        <v>-24.99965277777778</v>
      </c>
    </row>
    <row r="22" spans="1:12" ht="12.75">
      <c r="A22" s="16" t="s">
        <v>177</v>
      </c>
      <c r="B22" s="16">
        <v>16</v>
      </c>
      <c r="C22" s="16">
        <v>18</v>
      </c>
      <c r="D22" s="16">
        <v>19.38</v>
      </c>
      <c r="E22" s="2">
        <f t="shared" si="2"/>
        <v>244.58074999999997</v>
      </c>
      <c r="F22" s="16">
        <v>-4</v>
      </c>
      <c r="G22" s="16">
        <v>41</v>
      </c>
      <c r="H22" s="16">
        <v>32.36</v>
      </c>
      <c r="I22" s="2">
        <f t="shared" si="3"/>
        <v>-4.692322222222222</v>
      </c>
      <c r="K22" t="s">
        <v>156</v>
      </c>
      <c r="L22" s="4">
        <f>360/(23+56/60)</f>
        <v>15.041782729805014</v>
      </c>
    </row>
    <row r="23" spans="1:12" ht="12.75">
      <c r="A23" s="16" t="s">
        <v>178</v>
      </c>
      <c r="B23" s="16">
        <v>16</v>
      </c>
      <c r="C23" s="16">
        <v>14</v>
      </c>
      <c r="D23" s="16">
        <v>20.69</v>
      </c>
      <c r="E23" s="2">
        <f t="shared" si="2"/>
        <v>243.58620833333336</v>
      </c>
      <c r="F23" s="16">
        <v>-3</v>
      </c>
      <c r="G23" s="16">
        <v>41</v>
      </c>
      <c r="H23" s="16">
        <v>41.95</v>
      </c>
      <c r="I23" s="2">
        <f t="shared" si="3"/>
        <v>-3.694986111111111</v>
      </c>
      <c r="K23" t="s">
        <v>161</v>
      </c>
      <c r="L23">
        <v>0.272</v>
      </c>
    </row>
    <row r="24" spans="1:9" ht="12.75">
      <c r="A24" s="16" t="s">
        <v>179</v>
      </c>
      <c r="B24" s="16">
        <v>16</v>
      </c>
      <c r="C24" s="16">
        <v>37</v>
      </c>
      <c r="D24" s="16">
        <v>9.55</v>
      </c>
      <c r="E24" s="2">
        <f t="shared" si="2"/>
        <v>249.28979166666664</v>
      </c>
      <c r="F24" s="16">
        <v>-10</v>
      </c>
      <c r="G24" s="16">
        <v>34</v>
      </c>
      <c r="H24" s="16">
        <v>1.11</v>
      </c>
      <c r="I24" s="2">
        <f t="shared" si="3"/>
        <v>-10.566975</v>
      </c>
    </row>
    <row r="27" spans="1:3" ht="12.75">
      <c r="A27" s="76" t="s">
        <v>182</v>
      </c>
      <c r="B27" s="76"/>
      <c r="C27" s="76"/>
    </row>
    <row r="28" spans="1:3" ht="12.75">
      <c r="A28" s="16" t="s">
        <v>163</v>
      </c>
      <c r="B28" s="16" t="s">
        <v>173</v>
      </c>
      <c r="C28">
        <f aca="true" t="shared" si="4" ref="C28:C54">IF(A28="","",ACOS(SIN(VLOOKUP(A28,$A$7:$I$24,9)*Grad)*SIN(VLOOKUP(B28,$A$7:$I$24,9)*Grad)+COS(VLOOKUP(A28,$A$7:$I$24,9)*Grad)*COS(VLOOKUP(B28,$A$7:$I$24,9)*Grad)*COS(VLOOKUP(A28,$A$7:$I$24,5)*Grad-VLOOKUP(B28,$A$7:$I$24,5)*Grad))/Grad)</f>
        <v>7.514871237285195</v>
      </c>
    </row>
    <row r="29" spans="1:3" ht="12.75">
      <c r="A29" s="16" t="s">
        <v>163</v>
      </c>
      <c r="B29" s="16" t="s">
        <v>174</v>
      </c>
      <c r="C29">
        <f t="shared" si="4"/>
        <v>7.4972411986125085</v>
      </c>
    </row>
    <row r="30" spans="1:3" ht="12.75">
      <c r="A30" s="16" t="s">
        <v>163</v>
      </c>
      <c r="B30" s="16" t="s">
        <v>175</v>
      </c>
      <c r="C30">
        <f t="shared" si="4"/>
        <v>7.4756486484465885</v>
      </c>
    </row>
    <row r="31" spans="1:3" ht="12.75">
      <c r="A31" s="16" t="s">
        <v>163</v>
      </c>
      <c r="B31" s="16" t="s">
        <v>179</v>
      </c>
      <c r="C31">
        <f t="shared" si="4"/>
        <v>15.970254863255883</v>
      </c>
    </row>
    <row r="32" spans="1:3" ht="12.75">
      <c r="A32" s="16" t="s">
        <v>173</v>
      </c>
      <c r="B32" s="16" t="s">
        <v>179</v>
      </c>
      <c r="C32">
        <f t="shared" si="4"/>
        <v>10.568193302249533</v>
      </c>
    </row>
    <row r="33" spans="1:3" ht="12.75">
      <c r="A33" s="16" t="s">
        <v>174</v>
      </c>
      <c r="B33" s="16" t="s">
        <v>179</v>
      </c>
      <c r="C33">
        <f t="shared" si="4"/>
        <v>10.554572099503849</v>
      </c>
    </row>
    <row r="34" spans="1:3" ht="12.75">
      <c r="A34" s="16" t="s">
        <v>175</v>
      </c>
      <c r="B34" s="16" t="s">
        <v>179</v>
      </c>
      <c r="C34">
        <f t="shared" si="4"/>
        <v>10.537712289015648</v>
      </c>
    </row>
    <row r="35" spans="1:3" ht="12.75">
      <c r="A35" s="16"/>
      <c r="B35" s="16"/>
      <c r="C35">
        <f t="shared" si="4"/>
      </c>
    </row>
    <row r="36" spans="1:3" ht="12.75">
      <c r="A36" s="16"/>
      <c r="B36" s="16"/>
      <c r="C36">
        <f t="shared" si="4"/>
      </c>
    </row>
    <row r="37" spans="1:3" ht="12.75">
      <c r="A37" s="16"/>
      <c r="B37" s="16"/>
      <c r="C37">
        <f t="shared" si="4"/>
      </c>
    </row>
    <row r="38" spans="1:3" ht="12.75">
      <c r="A38" s="16"/>
      <c r="B38" s="16"/>
      <c r="C38">
        <f t="shared" si="4"/>
      </c>
    </row>
    <row r="39" spans="1:3" ht="12.75">
      <c r="A39" s="16"/>
      <c r="B39" s="16"/>
      <c r="C39">
        <f t="shared" si="4"/>
      </c>
    </row>
    <row r="40" spans="1:3" ht="12.75">
      <c r="A40" s="16"/>
      <c r="B40" s="16"/>
      <c r="C40">
        <f t="shared" si="4"/>
      </c>
    </row>
    <row r="41" spans="1:3" ht="12.75">
      <c r="A41" s="16"/>
      <c r="B41" s="16"/>
      <c r="C41">
        <f t="shared" si="4"/>
      </c>
    </row>
    <row r="42" spans="1:3" ht="12.75">
      <c r="A42" s="16"/>
      <c r="B42" s="16"/>
      <c r="C42">
        <f t="shared" si="4"/>
      </c>
    </row>
    <row r="43" spans="1:3" ht="12.75">
      <c r="A43" s="16"/>
      <c r="B43" s="16"/>
      <c r="C43">
        <f t="shared" si="4"/>
      </c>
    </row>
    <row r="44" spans="1:3" ht="12.75">
      <c r="A44" s="16"/>
      <c r="B44" s="16"/>
      <c r="C44">
        <f t="shared" si="4"/>
      </c>
    </row>
    <row r="45" spans="1:3" ht="12.75">
      <c r="A45" s="16"/>
      <c r="B45" s="16"/>
      <c r="C45">
        <f t="shared" si="4"/>
      </c>
    </row>
    <row r="46" spans="1:3" ht="12.75">
      <c r="A46" s="16"/>
      <c r="B46" s="16"/>
      <c r="C46">
        <f t="shared" si="4"/>
      </c>
    </row>
    <row r="47" spans="1:3" ht="12.75">
      <c r="A47" s="16"/>
      <c r="B47" s="16"/>
      <c r="C47">
        <f t="shared" si="4"/>
      </c>
    </row>
    <row r="48" spans="1:3" ht="12.75">
      <c r="A48" s="16"/>
      <c r="B48" s="16"/>
      <c r="C48">
        <f t="shared" si="4"/>
      </c>
    </row>
    <row r="49" spans="1:3" ht="12.75">
      <c r="A49" s="16"/>
      <c r="B49" s="16"/>
      <c r="C49">
        <f t="shared" si="4"/>
      </c>
    </row>
    <row r="50" spans="1:3" ht="12.75">
      <c r="A50" s="16"/>
      <c r="B50" s="16"/>
      <c r="C50">
        <f t="shared" si="4"/>
      </c>
    </row>
    <row r="51" spans="1:3" ht="12.75">
      <c r="A51" s="16"/>
      <c r="B51" s="16"/>
      <c r="C51">
        <f t="shared" si="4"/>
      </c>
    </row>
    <row r="52" spans="1:3" ht="12.75">
      <c r="A52" s="16"/>
      <c r="B52" s="16"/>
      <c r="C52">
        <f t="shared" si="4"/>
      </c>
    </row>
    <row r="53" spans="1:3" ht="12.75">
      <c r="A53" s="16"/>
      <c r="B53" s="16"/>
      <c r="C53">
        <f t="shared" si="4"/>
      </c>
    </row>
    <row r="54" spans="1:3" ht="12.75">
      <c r="A54" s="16"/>
      <c r="B54" s="16"/>
      <c r="C54">
        <f t="shared" si="4"/>
      </c>
    </row>
  </sheetData>
  <mergeCells count="7">
    <mergeCell ref="K6:M6"/>
    <mergeCell ref="A27:C27"/>
    <mergeCell ref="A1:M1"/>
    <mergeCell ref="A2:M2"/>
    <mergeCell ref="A3:M3"/>
    <mergeCell ref="B5:E5"/>
    <mergeCell ref="F5:I5"/>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0"/>
  <sheetViews>
    <sheetView workbookViewId="0" topLeftCell="A1">
      <selection activeCell="C10" sqref="C10:I10"/>
    </sheetView>
  </sheetViews>
  <sheetFormatPr defaultColWidth="11.421875" defaultRowHeight="12.75"/>
  <cols>
    <col min="1" max="1" width="24.28125" style="0" customWidth="1"/>
    <col min="3" max="3" width="13.7109375" style="0" customWidth="1"/>
    <col min="5" max="5" width="12.421875" style="0" bestFit="1" customWidth="1"/>
    <col min="6" max="6" width="13.8515625" style="0" customWidth="1"/>
  </cols>
  <sheetData>
    <row r="1" spans="1:14" ht="12.75">
      <c r="A1" s="83" t="s">
        <v>195</v>
      </c>
      <c r="B1" s="83"/>
      <c r="C1" s="83"/>
      <c r="D1" s="83"/>
      <c r="E1" s="83"/>
      <c r="F1" s="83"/>
      <c r="G1" s="83"/>
      <c r="H1" s="83"/>
      <c r="I1" s="83"/>
      <c r="J1" s="83"/>
      <c r="K1" s="83"/>
      <c r="L1" s="83"/>
      <c r="M1" s="83"/>
      <c r="N1" s="83"/>
    </row>
    <row r="2" spans="1:14" ht="12.75">
      <c r="A2" s="83"/>
      <c r="B2" s="83"/>
      <c r="C2" s="83"/>
      <c r="D2" s="83"/>
      <c r="E2" s="83"/>
      <c r="F2" s="83"/>
      <c r="G2" s="83"/>
      <c r="H2" s="83"/>
      <c r="I2" s="83"/>
      <c r="J2" s="83"/>
      <c r="K2" s="83"/>
      <c r="L2" s="83"/>
      <c r="M2" s="83"/>
      <c r="N2" s="83"/>
    </row>
    <row r="3" spans="1:14" ht="12.75">
      <c r="A3" s="77" t="s">
        <v>196</v>
      </c>
      <c r="B3" s="77"/>
      <c r="C3" s="77"/>
      <c r="D3" s="77"/>
      <c r="E3" s="77"/>
      <c r="F3" s="77"/>
      <c r="G3" s="77"/>
      <c r="H3" s="77"/>
      <c r="I3" s="77"/>
      <c r="J3" s="77"/>
      <c r="K3" s="77"/>
      <c r="L3" s="77"/>
      <c r="M3" s="77"/>
      <c r="N3" s="77"/>
    </row>
    <row r="4" spans="1:14" ht="12.75">
      <c r="A4" s="83" t="s">
        <v>221</v>
      </c>
      <c r="B4" s="83"/>
      <c r="C4" s="83"/>
      <c r="D4" s="83"/>
      <c r="E4" s="83"/>
      <c r="F4" s="83"/>
      <c r="G4" s="83"/>
      <c r="H4" s="83"/>
      <c r="I4" s="83"/>
      <c r="J4" s="83"/>
      <c r="K4" s="83"/>
      <c r="L4" s="83"/>
      <c r="M4" s="83"/>
      <c r="N4" s="83"/>
    </row>
    <row r="5" spans="1:14" ht="12.75">
      <c r="A5" s="83"/>
      <c r="B5" s="83"/>
      <c r="C5" s="83"/>
      <c r="D5" s="83"/>
      <c r="E5" s="83"/>
      <c r="F5" s="83"/>
      <c r="G5" s="83"/>
      <c r="H5" s="83"/>
      <c r="I5" s="83"/>
      <c r="J5" s="83"/>
      <c r="K5" s="83"/>
      <c r="L5" s="83"/>
      <c r="M5" s="83"/>
      <c r="N5" s="83"/>
    </row>
    <row r="6" spans="1:14" ht="12.75">
      <c r="A6" s="77" t="s">
        <v>222</v>
      </c>
      <c r="B6" s="77"/>
      <c r="C6" s="77"/>
      <c r="D6" s="77"/>
      <c r="E6" s="77"/>
      <c r="F6" s="77"/>
      <c r="G6" s="77"/>
      <c r="H6" s="77"/>
      <c r="I6" s="77"/>
      <c r="J6" s="77"/>
      <c r="K6" s="77"/>
      <c r="L6" s="77"/>
      <c r="M6" s="77"/>
      <c r="N6" s="77"/>
    </row>
    <row r="7" spans="1:14" ht="12.75">
      <c r="A7" s="49"/>
      <c r="B7" s="49"/>
      <c r="C7" s="49"/>
      <c r="D7" s="49"/>
      <c r="E7" s="49"/>
      <c r="F7" s="49"/>
      <c r="G7" s="49"/>
      <c r="H7" s="49"/>
      <c r="I7" s="49"/>
      <c r="J7" s="49"/>
      <c r="K7" s="49"/>
      <c r="L7" s="49"/>
      <c r="M7" s="49"/>
      <c r="N7" s="49"/>
    </row>
    <row r="8" spans="1:2" ht="12.75">
      <c r="A8" t="s">
        <v>186</v>
      </c>
      <c r="B8" s="54">
        <v>42512</v>
      </c>
    </row>
    <row r="9" spans="1:2" ht="12.75">
      <c r="A9" t="s">
        <v>187</v>
      </c>
      <c r="B9" s="55">
        <v>0.745</v>
      </c>
    </row>
    <row r="10" spans="1:9" ht="12.75">
      <c r="A10" t="s">
        <v>8</v>
      </c>
      <c r="B10" s="12">
        <v>60</v>
      </c>
      <c r="C10" s="77" t="s">
        <v>223</v>
      </c>
      <c r="D10" s="77"/>
      <c r="E10" s="77"/>
      <c r="F10" s="77"/>
      <c r="G10" s="77"/>
      <c r="H10" s="77"/>
      <c r="I10" s="77"/>
    </row>
    <row r="12" spans="1:6" ht="12.75">
      <c r="A12" s="81" t="s">
        <v>48</v>
      </c>
      <c r="B12" s="81"/>
      <c r="C12" s="81"/>
      <c r="D12" s="81"/>
      <c r="E12" s="82" t="s">
        <v>49</v>
      </c>
      <c r="F12" s="82"/>
    </row>
    <row r="13" spans="1:6" ht="12.75">
      <c r="A13" s="17" t="s">
        <v>51</v>
      </c>
      <c r="B13" s="17" t="s">
        <v>13</v>
      </c>
      <c r="C13" s="17" t="s">
        <v>14</v>
      </c>
      <c r="D13" s="17" t="s">
        <v>15</v>
      </c>
      <c r="E13" t="s">
        <v>17</v>
      </c>
      <c r="F13" t="s">
        <v>18</v>
      </c>
    </row>
    <row r="14" spans="1:6" ht="12.75">
      <c r="A14" s="16" t="s">
        <v>163</v>
      </c>
      <c r="B14" s="16">
        <v>3821</v>
      </c>
      <c r="C14" s="16">
        <v>417</v>
      </c>
      <c r="D14" s="17">
        <f aca="true" t="shared" si="0" ref="D14:D19">IF(A14="","",SQRT((B14-xM)^2+(C14-yM)^2)*Massstab)</f>
        <v>7.7270437671854815</v>
      </c>
      <c r="E14">
        <f aca="true" t="shared" si="1" ref="E14:E19">IF(A14="","",ATAN2(B14-xM,-C14+yM)/Grad)</f>
        <v>46.84906406771241</v>
      </c>
      <c r="F14">
        <f aca="true" t="shared" si="2" ref="F14:F19">IF(A14="","",ATAN($B$10/D14)/Grad)</f>
        <v>82.66160873736827</v>
      </c>
    </row>
    <row r="15" spans="1:6" ht="12.75">
      <c r="A15" s="16" t="s">
        <v>10</v>
      </c>
      <c r="B15" s="16">
        <v>2061</v>
      </c>
      <c r="C15" s="16">
        <v>2233</v>
      </c>
      <c r="D15" s="17">
        <f t="shared" si="0"/>
        <v>3.1510111297804078</v>
      </c>
      <c r="E15">
        <f t="shared" si="1"/>
        <v>-136.437623197075</v>
      </c>
      <c r="F15">
        <f t="shared" si="2"/>
        <v>86.99376773734741</v>
      </c>
    </row>
    <row r="16" spans="1:14" ht="12.75">
      <c r="A16" s="16" t="s">
        <v>171</v>
      </c>
      <c r="B16" s="16">
        <v>1667</v>
      </c>
      <c r="C16" s="16">
        <v>1468</v>
      </c>
      <c r="D16" s="17">
        <f t="shared" si="0"/>
        <v>4.131637720081469</v>
      </c>
      <c r="E16">
        <f t="shared" si="1"/>
        <v>164.30033145386545</v>
      </c>
      <c r="F16">
        <f t="shared" si="2"/>
        <v>86.06079503842075</v>
      </c>
      <c r="G16" s="80" t="s">
        <v>46</v>
      </c>
      <c r="H16" s="80"/>
      <c r="I16" s="80"/>
      <c r="J16" s="80"/>
      <c r="K16" s="80"/>
      <c r="L16" s="80"/>
      <c r="M16" s="10"/>
      <c r="N16" s="10"/>
    </row>
    <row r="17" spans="1:13" ht="12.75">
      <c r="A17" s="16" t="s">
        <v>173</v>
      </c>
      <c r="B17" s="16">
        <v>3012</v>
      </c>
      <c r="C17" s="16">
        <v>2060</v>
      </c>
      <c r="D17" s="17">
        <f t="shared" si="0"/>
        <v>2.302102899524693</v>
      </c>
      <c r="E17">
        <f t="shared" si="1"/>
        <v>-38.32553095288243</v>
      </c>
      <c r="F17">
        <f t="shared" si="2"/>
        <v>87.80273146488452</v>
      </c>
      <c r="G17" s="16">
        <v>16</v>
      </c>
      <c r="H17" s="16">
        <v>45</v>
      </c>
      <c r="I17" s="16">
        <v>56.79</v>
      </c>
      <c r="J17" s="16">
        <v>-16</v>
      </c>
      <c r="K17" s="16">
        <v>53</v>
      </c>
      <c r="L17" s="16">
        <v>27.54</v>
      </c>
      <c r="M17" s="5"/>
    </row>
    <row r="18" spans="1:6" ht="12.75">
      <c r="A18" s="16" t="s">
        <v>179</v>
      </c>
      <c r="B18" s="16">
        <v>430</v>
      </c>
      <c r="C18" s="16">
        <v>2400</v>
      </c>
      <c r="D18" s="17">
        <f t="shared" si="0"/>
        <v>9.735325352549857</v>
      </c>
      <c r="E18">
        <f t="shared" si="1"/>
        <v>-162.73353735321606</v>
      </c>
      <c r="F18">
        <f t="shared" si="2"/>
        <v>80.78376702314092</v>
      </c>
    </row>
    <row r="19" spans="1:6" ht="12.75">
      <c r="A19" s="16"/>
      <c r="B19" s="16"/>
      <c r="C19" s="16"/>
      <c r="D19" s="17">
        <f t="shared" si="0"/>
      </c>
      <c r="E19">
        <f t="shared" si="1"/>
      </c>
      <c r="F19">
        <f t="shared" si="2"/>
      </c>
    </row>
    <row r="20" spans="1:4" ht="12.75">
      <c r="A20" s="17"/>
      <c r="B20" s="17"/>
      <c r="C20" s="17"/>
      <c r="D20" s="17"/>
    </row>
    <row r="21" ht="12.75">
      <c r="A21" s="70" t="s">
        <v>201</v>
      </c>
    </row>
    <row r="22" spans="1:14" ht="12.75">
      <c r="A22" s="70"/>
      <c r="B22" s="16" t="s">
        <v>163</v>
      </c>
      <c r="C22" s="16" t="s">
        <v>179</v>
      </c>
      <c r="D22" s="77" t="s">
        <v>202</v>
      </c>
      <c r="E22" s="77"/>
      <c r="F22" s="77"/>
      <c r="G22" s="77"/>
      <c r="H22" s="77"/>
      <c r="I22" s="77"/>
      <c r="J22" s="77"/>
      <c r="K22" s="77"/>
      <c r="L22" s="77"/>
      <c r="M22" s="77"/>
      <c r="N22" s="77"/>
    </row>
    <row r="23" spans="1:14" ht="12.75">
      <c r="A23" s="27" t="s">
        <v>204</v>
      </c>
      <c r="B23" s="17">
        <f>ACOS(SIN(VLOOKUP("Mond",$A$14:$F$18,6)*Grad)*SIN(VLOOKUP(B22,$A$14:$F$18,6)*Grad)+COS(VLOOKUP("Mond",$A$14:$F$18,6)*Grad)*COS(VLOOKUP(B22,$A$14:$F$18,6)*Grad)*COS(VLOOKUP("Mond",$A$14:$F$18,5)*Grad-VLOOKUP(B22,$A$14:$F$18,5)*Grad))/Grad</f>
        <v>10.341107282379472</v>
      </c>
      <c r="C23" s="17">
        <f>ACOS(SIN(VLOOKUP("Mond",$A$14:$F$18,6)*Grad)*SIN(VLOOKUP(C22,$A$14:$F$18,6)*Grad)+COS(VLOOKUP("Mond",$A$14:$F$18,6)*Grad)*COS(VLOOKUP(C22,$A$14:$F$18,6)*Grad)*COS(VLOOKUP("Mond",$A$14:$F$18,5)*Grad-VLOOKUP(C22,$A$14:$F$18,5)*Grad))/Grad</f>
        <v>6.654546197416754</v>
      </c>
      <c r="D23" s="53"/>
      <c r="E23" s="53"/>
      <c r="F23" s="53"/>
      <c r="G23" s="53"/>
      <c r="H23" s="53"/>
      <c r="I23" s="53"/>
      <c r="J23" s="53"/>
      <c r="K23" s="53"/>
      <c r="L23" s="53"/>
      <c r="M23" s="53"/>
      <c r="N23" s="53"/>
    </row>
    <row r="24" spans="1:14" ht="12.75">
      <c r="A24" s="27"/>
      <c r="B24" s="17"/>
      <c r="C24" s="17"/>
      <c r="D24" s="53"/>
      <c r="E24" s="53"/>
      <c r="F24" s="53"/>
      <c r="G24" s="53"/>
      <c r="H24" s="53"/>
      <c r="I24" s="53"/>
      <c r="J24" s="53"/>
      <c r="K24" s="53"/>
      <c r="L24" s="53"/>
      <c r="M24" s="53"/>
      <c r="N24" s="53"/>
    </row>
    <row r="25" spans="1:14" ht="12.75">
      <c r="A25" s="27"/>
      <c r="B25" s="7" t="s">
        <v>33</v>
      </c>
      <c r="C25" s="7" t="s">
        <v>34</v>
      </c>
      <c r="D25" s="53"/>
      <c r="E25" s="53"/>
      <c r="F25" s="53"/>
      <c r="G25" s="53"/>
      <c r="H25" s="53"/>
      <c r="I25" s="53"/>
      <c r="J25" s="53"/>
      <c r="K25" s="53"/>
      <c r="L25" s="53"/>
      <c r="M25" s="53"/>
      <c r="N25" s="53"/>
    </row>
    <row r="26" spans="1:12" ht="12.75">
      <c r="A26" s="5" t="s">
        <v>35</v>
      </c>
      <c r="B26" s="60">
        <v>251.54525684193112</v>
      </c>
      <c r="C26" s="60">
        <v>-16.850865820200585</v>
      </c>
      <c r="D26" s="79" t="s">
        <v>205</v>
      </c>
      <c r="E26" s="79"/>
      <c r="F26" s="79"/>
      <c r="G26" s="79"/>
      <c r="H26" s="79"/>
      <c r="I26" s="79"/>
      <c r="J26" s="79"/>
      <c r="K26" s="79"/>
      <c r="L26" s="79"/>
    </row>
    <row r="27" spans="1:3" ht="12.75">
      <c r="A27" t="s">
        <v>47</v>
      </c>
      <c r="B27" s="9">
        <f>(G17+(H17+I17/60)/60)*15</f>
        <v>251.48662500000003</v>
      </c>
      <c r="C27" s="52">
        <f>IF(J17&gt;0,(K17+L17/60)/60+J17,-(K17+L17/60)/60+J17)</f>
        <v>-16.890983333333335</v>
      </c>
    </row>
    <row r="29" spans="3:6" ht="12.75" customHeight="1">
      <c r="C29" s="78" t="s">
        <v>191</v>
      </c>
      <c r="D29" s="78" t="s">
        <v>190</v>
      </c>
      <c r="E29" s="78" t="s">
        <v>192</v>
      </c>
      <c r="F29" s="78" t="s">
        <v>189</v>
      </c>
    </row>
    <row r="30" spans="1:6" ht="12.75">
      <c r="A30" s="75" t="s">
        <v>94</v>
      </c>
      <c r="B30" s="75"/>
      <c r="C30" s="78"/>
      <c r="D30" s="78"/>
      <c r="E30" s="78"/>
      <c r="F30" s="78"/>
    </row>
    <row r="31" spans="1:6" ht="12.75">
      <c r="A31" s="16" t="s">
        <v>163</v>
      </c>
      <c r="B31" s="16" t="s">
        <v>171</v>
      </c>
      <c r="C31">
        <f aca="true" t="shared" si="3" ref="C31:C40">IF(A31="","",ACOS(SIN(VLOOKUP(A31,$A$14:$F$19,6)*Grad)*SIN(VLOOKUP(B31,$A$14:$F$19,6)*Grad)+COS(VLOOKUP(A31,$A$14:$F$19,6)*Grad)*COS(VLOOKUP(B31,$A$14:$F$19,6)*Grad)*COS(VLOOKUP(A31,$A$14:$F$19,5)*Grad-VLOOKUP(B31,$A$14:$F$19,5)*Grad))/Grad)</f>
        <v>9.795643846630107</v>
      </c>
      <c r="D31">
        <f>IF(AND(A31&lt;&gt;"",A31&lt;&gt;"Mond",B31&lt;&gt;"Mond"),ACOS(SIN(VLOOKUP(A31,Bezugssterne!$A$7:$I$24,9)*Grad)*SIN(VLOOKUP(B31,Bezugssterne!$A$7:$I$24,9)*Grad)+COS(VLOOKUP(A31,Bezugssterne!$A$7:$I$24,9)*Grad)*COS(VLOOKUP(B31,Bezugssterne!$A$7:$I$24,9)*Grad)*COS(VLOOKUP(A31,Bezugssterne!$A$7:$I$24,5)*Grad-VLOOKUP(B31,Bezugssterne!$A$7:$I$24,5)*Grad))/Grad,"")</f>
        <v>9.827369517717564</v>
      </c>
      <c r="E31">
        <f>IF(AND(C31&lt;&gt;"",D31&lt;&gt;""),(C31-D31)^2,"")</f>
        <v>0.0010065182059495294</v>
      </c>
      <c r="F31" s="13">
        <f>SUM(E31:E40)</f>
        <v>0.01400045065513016</v>
      </c>
    </row>
    <row r="32" spans="1:5" ht="12.75">
      <c r="A32" s="16" t="s">
        <v>163</v>
      </c>
      <c r="B32" s="16" t="s">
        <v>173</v>
      </c>
      <c r="C32">
        <f t="shared" si="3"/>
        <v>7.479369788541581</v>
      </c>
      <c r="D32">
        <f>IF(AND(A32&lt;&gt;"",A32&lt;&gt;"Mond",B32&lt;&gt;"Mond"),ACOS(SIN(VLOOKUP(A32,Bezugssterne!$A$7:$I$24,9)*Grad)*SIN(VLOOKUP(B32,Bezugssterne!$A$7:$I$24,9)*Grad)+COS(VLOOKUP(A32,Bezugssterne!$A$7:$I$24,9)*Grad)*COS(VLOOKUP(B32,Bezugssterne!$A$7:$I$24,9)*Grad)*COS(VLOOKUP(A32,Bezugssterne!$A$7:$I$24,5)*Grad-VLOOKUP(B32,Bezugssterne!$A$7:$I$24,5)*Grad))/Grad,"")</f>
        <v>7.514871237285195</v>
      </c>
      <c r="E32">
        <f aca="true" t="shared" si="4" ref="E32:E40">IF(AND(C32&lt;&gt;"",D32&lt;&gt;""),(C32-D32)^2,"")</f>
        <v>0.0012603528628955028</v>
      </c>
    </row>
    <row r="33" spans="1:5" ht="12.75">
      <c r="A33" s="16" t="s">
        <v>163</v>
      </c>
      <c r="B33" s="16" t="s">
        <v>171</v>
      </c>
      <c r="C33">
        <f t="shared" si="3"/>
        <v>9.795643846630107</v>
      </c>
      <c r="D33">
        <f>IF(AND(A33&lt;&gt;"",A33&lt;&gt;"Mond",B33&lt;&gt;"Mond"),ACOS(SIN(VLOOKUP(A33,Bezugssterne!$A$7:$I$24,9)*Grad)*SIN(VLOOKUP(B33,Bezugssterne!$A$7:$I$24,9)*Grad)+COS(VLOOKUP(A33,Bezugssterne!$A$7:$I$24,9)*Grad)*COS(VLOOKUP(B33,Bezugssterne!$A$7:$I$24,9)*Grad)*COS(VLOOKUP(A33,Bezugssterne!$A$7:$I$24,5)*Grad-VLOOKUP(B33,Bezugssterne!$A$7:$I$24,5)*Grad))/Grad,"")</f>
        <v>9.827369517717564</v>
      </c>
      <c r="E33">
        <f t="shared" si="4"/>
        <v>0.0010065182059495294</v>
      </c>
    </row>
    <row r="34" spans="1:5" ht="12.75">
      <c r="A34" s="16" t="s">
        <v>163</v>
      </c>
      <c r="B34" s="16" t="s">
        <v>179</v>
      </c>
      <c r="C34">
        <f t="shared" si="3"/>
        <v>16.009655919224773</v>
      </c>
      <c r="D34">
        <f>IF(AND(A34&lt;&gt;"",A34&lt;&gt;"Mond",B34&lt;&gt;"Mond"),ACOS(SIN(VLOOKUP(A34,Bezugssterne!$A$7:$I$24,9)*Grad)*SIN(VLOOKUP(B34,Bezugssterne!$A$7:$I$24,9)*Grad)+COS(VLOOKUP(A34,Bezugssterne!$A$7:$I$24,9)*Grad)*COS(VLOOKUP(B34,Bezugssterne!$A$7:$I$24,9)*Grad)*COS(VLOOKUP(A34,Bezugssterne!$A$7:$I$24,5)*Grad-VLOOKUP(B34,Bezugssterne!$A$7:$I$24,5)*Grad))/Grad,"")</f>
        <v>15.970254863255883</v>
      </c>
      <c r="E34">
        <f t="shared" si="4"/>
        <v>0.0015524432114635838</v>
      </c>
    </row>
    <row r="35" spans="1:5" ht="12.75">
      <c r="A35" s="16" t="s">
        <v>171</v>
      </c>
      <c r="B35" s="16" t="s">
        <v>173</v>
      </c>
      <c r="C35">
        <f t="shared" si="3"/>
        <v>6.026845681338105</v>
      </c>
      <c r="D35">
        <f>IF(AND(A35&lt;&gt;"",A35&lt;&gt;"Mond",B35&lt;&gt;"Mond"),ACOS(SIN(VLOOKUP(A35,Bezugssterne!$A$7:$I$24,9)*Grad)*SIN(VLOOKUP(B35,Bezugssterne!$A$7:$I$24,9)*Grad)+COS(VLOOKUP(A35,Bezugssterne!$A$7:$I$24,9)*Grad)*COS(VLOOKUP(B35,Bezugssterne!$A$7:$I$24,9)*Grad)*COS(VLOOKUP(A35,Bezugssterne!$A$7:$I$24,5)*Grad-VLOOKUP(B35,Bezugssterne!$A$7:$I$24,5)*Grad))/Grad,"")</f>
        <v>6.082066900281172</v>
      </c>
      <c r="E35">
        <f t="shared" si="4"/>
        <v>0.0030493830215581144</v>
      </c>
    </row>
    <row r="36" spans="1:5" ht="12.75">
      <c r="A36" s="16" t="s">
        <v>171</v>
      </c>
      <c r="B36" s="16" t="s">
        <v>179</v>
      </c>
      <c r="C36">
        <f t="shared" si="3"/>
        <v>6.284748259048519</v>
      </c>
      <c r="D36">
        <f>IF(AND(A36&lt;&gt;"",A36&lt;&gt;"Mond",B36&lt;&gt;"Mond"),ACOS(SIN(VLOOKUP(A36,Bezugssterne!$A$7:$I$24,9)*Grad)*SIN(VLOOKUP(B36,Bezugssterne!$A$7:$I$24,9)*Grad)+COS(VLOOKUP(A36,Bezugssterne!$A$7:$I$24,9)*Grad)*COS(VLOOKUP(B36,Bezugssterne!$A$7:$I$24,9)*Grad)*COS(VLOOKUP(A36,Bezugssterne!$A$7:$I$24,5)*Grad-VLOOKUP(B36,Bezugssterne!$A$7:$I$24,5)*Grad))/Grad,"")</f>
        <v>6.220227157789698</v>
      </c>
      <c r="E36">
        <f t="shared" si="4"/>
        <v>0.0041629725076510245</v>
      </c>
    </row>
    <row r="37" spans="1:5" ht="12.75">
      <c r="A37" s="16" t="s">
        <v>173</v>
      </c>
      <c r="B37" s="16" t="s">
        <v>179</v>
      </c>
      <c r="C37">
        <f t="shared" si="3"/>
        <v>10.612490736031445</v>
      </c>
      <c r="D37">
        <f>IF(AND(A37&lt;&gt;"",A37&lt;&gt;"Mond",B37&lt;&gt;"Mond"),ACOS(SIN(VLOOKUP(A37,Bezugssterne!$A$7:$I$24,9)*Grad)*SIN(VLOOKUP(B37,Bezugssterne!$A$7:$I$24,9)*Grad)+COS(VLOOKUP(A37,Bezugssterne!$A$7:$I$24,9)*Grad)*COS(VLOOKUP(B37,Bezugssterne!$A$7:$I$24,9)*Grad)*COS(VLOOKUP(A37,Bezugssterne!$A$7:$I$24,5)*Grad-VLOOKUP(B37,Bezugssterne!$A$7:$I$24,5)*Grad))/Grad,"")</f>
        <v>10.568193302249533</v>
      </c>
      <c r="E37">
        <f t="shared" si="4"/>
        <v>0.0019622626396628763</v>
      </c>
    </row>
    <row r="38" spans="1:5" ht="12.75">
      <c r="A38" s="16" t="s">
        <v>10</v>
      </c>
      <c r="B38" s="16" t="s">
        <v>163</v>
      </c>
      <c r="C38">
        <f t="shared" si="3"/>
        <v>10.341107282379472</v>
      </c>
      <c r="D38">
        <f>IF(AND(A38&lt;&gt;"",A38&lt;&gt;"Mond",B38&lt;&gt;"Mond"),ACOS(SIN(VLOOKUP(A38,Bezugssterne!$A$7:$I$24,9)*Grad)*SIN(VLOOKUP(B38,Bezugssterne!$A$7:$I$24,9)*Grad)+COS(VLOOKUP(A38,Bezugssterne!$A$7:$I$24,9)*Grad)*COS(VLOOKUP(B38,Bezugssterne!$A$7:$I$24,9)*Grad)*COS(VLOOKUP(A38,Bezugssterne!$A$7:$I$24,5)*Grad-VLOOKUP(B38,Bezugssterne!$A$7:$I$24,5)*Grad))/Grad,"")</f>
      </c>
      <c r="E38">
        <f t="shared" si="4"/>
      </c>
    </row>
    <row r="39" spans="1:5" ht="12.75">
      <c r="A39" s="16" t="s">
        <v>10</v>
      </c>
      <c r="B39" s="16" t="s">
        <v>171</v>
      </c>
      <c r="C39">
        <f t="shared" si="3"/>
        <v>3.526881569357052</v>
      </c>
      <c r="D39">
        <f>IF(AND(A39&lt;&gt;"",A39&lt;&gt;"Mond",B39&lt;&gt;"Mond"),ACOS(SIN(VLOOKUP(A39,Bezugssterne!$A$7:$I$24,9)*Grad)*SIN(VLOOKUP(B39,Bezugssterne!$A$7:$I$24,9)*Grad)+COS(VLOOKUP(A39,Bezugssterne!$A$7:$I$24,9)*Grad)*COS(VLOOKUP(B39,Bezugssterne!$A$7:$I$24,9)*Grad)*COS(VLOOKUP(A39,Bezugssterne!$A$7:$I$24,5)*Grad-VLOOKUP(B39,Bezugssterne!$A$7:$I$24,5)*Grad))/Grad,"")</f>
      </c>
      <c r="E39">
        <f t="shared" si="4"/>
      </c>
    </row>
    <row r="40" spans="1:5" ht="12.75">
      <c r="A40" s="16" t="s">
        <v>10</v>
      </c>
      <c r="B40" s="16" t="s">
        <v>179</v>
      </c>
      <c r="C40">
        <f t="shared" si="3"/>
        <v>6.654546197416754</v>
      </c>
      <c r="D40">
        <f>IF(AND(A40&lt;&gt;"",A40&lt;&gt;"Mond",B40&lt;&gt;"Mond"),ACOS(SIN(VLOOKUP(A40,Bezugssterne!$A$7:$I$24,9)*Grad)*SIN(VLOOKUP(B40,Bezugssterne!$A$7:$I$24,9)*Grad)+COS(VLOOKUP(A40,Bezugssterne!$A$7:$I$24,9)*Grad)*COS(VLOOKUP(B40,Bezugssterne!$A$7:$I$24,9)*Grad)*COS(VLOOKUP(A40,Bezugssterne!$A$7:$I$24,5)*Grad-VLOOKUP(B40,Bezugssterne!$A$7:$I$24,5)*Grad))/Grad,"")</f>
      </c>
      <c r="E40">
        <f t="shared" si="4"/>
      </c>
    </row>
  </sheetData>
  <mergeCells count="16">
    <mergeCell ref="G16:L16"/>
    <mergeCell ref="A12:D12"/>
    <mergeCell ref="E12:F12"/>
    <mergeCell ref="A1:N2"/>
    <mergeCell ref="A3:N3"/>
    <mergeCell ref="A6:N6"/>
    <mergeCell ref="A4:N5"/>
    <mergeCell ref="C10:I10"/>
    <mergeCell ref="F29:F30"/>
    <mergeCell ref="A21:A22"/>
    <mergeCell ref="A30:B30"/>
    <mergeCell ref="C29:C30"/>
    <mergeCell ref="D29:D30"/>
    <mergeCell ref="E29:E30"/>
    <mergeCell ref="D22:N22"/>
    <mergeCell ref="D26:L26"/>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0"/>
  <sheetViews>
    <sheetView workbookViewId="0" topLeftCell="A1">
      <selection activeCell="C10" sqref="C10:I10"/>
    </sheetView>
  </sheetViews>
  <sheetFormatPr defaultColWidth="11.421875" defaultRowHeight="12.75"/>
  <cols>
    <col min="1" max="1" width="25.28125" style="0" customWidth="1"/>
    <col min="3" max="4" width="13.28125" style="0" customWidth="1"/>
    <col min="5" max="5" width="12.421875" style="0" bestFit="1" customWidth="1"/>
    <col min="6" max="6" width="13.57421875" style="0" customWidth="1"/>
  </cols>
  <sheetData>
    <row r="1" spans="1:14" ht="12.75">
      <c r="A1" s="83" t="s">
        <v>195</v>
      </c>
      <c r="B1" s="83"/>
      <c r="C1" s="83"/>
      <c r="D1" s="83"/>
      <c r="E1" s="83"/>
      <c r="F1" s="83"/>
      <c r="G1" s="83"/>
      <c r="H1" s="83"/>
      <c r="I1" s="83"/>
      <c r="J1" s="83"/>
      <c r="K1" s="83"/>
      <c r="L1" s="83"/>
      <c r="M1" s="83"/>
      <c r="N1" s="83"/>
    </row>
    <row r="2" spans="1:14" ht="12.75">
      <c r="A2" s="83"/>
      <c r="B2" s="83"/>
      <c r="C2" s="83"/>
      <c r="D2" s="83"/>
      <c r="E2" s="83"/>
      <c r="F2" s="83"/>
      <c r="G2" s="83"/>
      <c r="H2" s="83"/>
      <c r="I2" s="83"/>
      <c r="J2" s="83"/>
      <c r="K2" s="83"/>
      <c r="L2" s="83"/>
      <c r="M2" s="83"/>
      <c r="N2" s="83"/>
    </row>
    <row r="3" spans="1:14" ht="12.75">
      <c r="A3" s="77" t="s">
        <v>196</v>
      </c>
      <c r="B3" s="77"/>
      <c r="C3" s="77"/>
      <c r="D3" s="77"/>
      <c r="E3" s="77"/>
      <c r="F3" s="77"/>
      <c r="G3" s="77"/>
      <c r="H3" s="77"/>
      <c r="I3" s="77"/>
      <c r="J3" s="77"/>
      <c r="K3" s="77"/>
      <c r="L3" s="77"/>
      <c r="M3" s="77"/>
      <c r="N3" s="77"/>
    </row>
    <row r="4" spans="1:14" ht="12.75">
      <c r="A4" s="83" t="s">
        <v>198</v>
      </c>
      <c r="B4" s="83"/>
      <c r="C4" s="83"/>
      <c r="D4" s="83"/>
      <c r="E4" s="83"/>
      <c r="F4" s="83"/>
      <c r="G4" s="83"/>
      <c r="H4" s="83"/>
      <c r="I4" s="83"/>
      <c r="J4" s="83"/>
      <c r="K4" s="83"/>
      <c r="L4" s="83"/>
      <c r="M4" s="83"/>
      <c r="N4" s="83"/>
    </row>
    <row r="5" spans="1:14" ht="12.75">
      <c r="A5" s="83"/>
      <c r="B5" s="83"/>
      <c r="C5" s="83"/>
      <c r="D5" s="83"/>
      <c r="E5" s="83"/>
      <c r="F5" s="83"/>
      <c r="G5" s="83"/>
      <c r="H5" s="83"/>
      <c r="I5" s="83"/>
      <c r="J5" s="83"/>
      <c r="K5" s="83"/>
      <c r="L5" s="83"/>
      <c r="M5" s="83"/>
      <c r="N5" s="83"/>
    </row>
    <row r="6" spans="1:14" ht="12.75">
      <c r="A6" s="77" t="s">
        <v>197</v>
      </c>
      <c r="B6" s="77"/>
      <c r="C6" s="77"/>
      <c r="D6" s="77"/>
      <c r="E6" s="77"/>
      <c r="F6" s="77"/>
      <c r="G6" s="77"/>
      <c r="H6" s="77"/>
      <c r="I6" s="77"/>
      <c r="J6" s="77"/>
      <c r="K6" s="77"/>
      <c r="L6" s="77"/>
      <c r="M6" s="77"/>
      <c r="N6" s="77"/>
    </row>
    <row r="8" spans="1:2" ht="12.75">
      <c r="A8" t="s">
        <v>188</v>
      </c>
      <c r="B8" s="54">
        <v>42513</v>
      </c>
    </row>
    <row r="9" spans="1:4" ht="12.75">
      <c r="A9" t="s">
        <v>210</v>
      </c>
      <c r="B9" s="55">
        <v>0.2006712962962963</v>
      </c>
      <c r="C9" t="s">
        <v>95</v>
      </c>
      <c r="D9" s="55">
        <v>0.9160763888888889</v>
      </c>
    </row>
    <row r="10" spans="1:9" ht="12.75">
      <c r="A10" t="s">
        <v>8</v>
      </c>
      <c r="B10" s="14">
        <v>25.49</v>
      </c>
      <c r="C10" s="77" t="s">
        <v>223</v>
      </c>
      <c r="D10" s="77"/>
      <c r="E10" s="77"/>
      <c r="F10" s="77"/>
      <c r="G10" s="77"/>
      <c r="H10" s="77"/>
      <c r="I10" s="77"/>
    </row>
    <row r="12" spans="1:6" ht="12.75">
      <c r="A12" s="81" t="s">
        <v>48</v>
      </c>
      <c r="B12" s="81"/>
      <c r="C12" s="81"/>
      <c r="D12" s="81"/>
      <c r="E12" s="82" t="s">
        <v>49</v>
      </c>
      <c r="F12" s="82"/>
    </row>
    <row r="13" spans="1:6" ht="12.75">
      <c r="A13" s="17" t="s">
        <v>51</v>
      </c>
      <c r="B13" s="17" t="s">
        <v>13</v>
      </c>
      <c r="C13" s="17" t="s">
        <v>14</v>
      </c>
      <c r="D13" s="17" t="s">
        <v>15</v>
      </c>
      <c r="E13" t="s">
        <v>17</v>
      </c>
      <c r="F13" t="s">
        <v>18</v>
      </c>
    </row>
    <row r="14" spans="1:6" ht="12.75">
      <c r="A14" s="16" t="s">
        <v>10</v>
      </c>
      <c r="B14" s="16">
        <v>2933</v>
      </c>
      <c r="C14" s="16">
        <v>1523</v>
      </c>
      <c r="D14" s="17">
        <f aca="true" t="shared" si="0" ref="D14:D19">IF(A14="","",SQRT((B14-xM)^2+(C14-yM)^2)*Massstab)</f>
        <v>1.710870521109064</v>
      </c>
      <c r="E14">
        <f aca="true" t="shared" si="1" ref="E14:E19">IF(A14="","",ATAN2(B14-xM,-C14+yM)/Grad)</f>
        <v>31.01314943321122</v>
      </c>
      <c r="F14">
        <f aca="true" t="shared" si="2" ref="F14:F19">IF(A14="","",ATAN($B$10/D14)/Grad)</f>
        <v>86.16010769094203</v>
      </c>
    </row>
    <row r="15" spans="1:6" ht="12.75">
      <c r="A15" s="16" t="s">
        <v>172</v>
      </c>
      <c r="B15" s="16">
        <v>3176</v>
      </c>
      <c r="C15" s="16">
        <v>1375</v>
      </c>
      <c r="D15" s="17">
        <f t="shared" si="0"/>
        <v>2.934305002892508</v>
      </c>
      <c r="E15">
        <f t="shared" si="1"/>
        <v>31.150949918215044</v>
      </c>
      <c r="F15">
        <f t="shared" si="2"/>
        <v>83.43324820097727</v>
      </c>
    </row>
    <row r="16" spans="1:12" ht="12.75">
      <c r="A16" s="16" t="s">
        <v>174</v>
      </c>
      <c r="B16" s="16">
        <v>2537</v>
      </c>
      <c r="C16" s="16">
        <v>1693</v>
      </c>
      <c r="D16" s="17">
        <f t="shared" si="0"/>
        <v>0.2803257034237139</v>
      </c>
      <c r="E16">
        <f t="shared" si="1"/>
        <v>147.5288077091515</v>
      </c>
      <c r="F16">
        <f t="shared" si="2"/>
        <v>89.36991635048051</v>
      </c>
      <c r="G16" s="80" t="s">
        <v>46</v>
      </c>
      <c r="H16" s="80"/>
      <c r="I16" s="80"/>
      <c r="J16" s="80"/>
      <c r="K16" s="80"/>
      <c r="L16" s="80"/>
    </row>
    <row r="17" spans="1:12" ht="12.75">
      <c r="A17" s="16" t="s">
        <v>180</v>
      </c>
      <c r="B17" s="16">
        <v>2327</v>
      </c>
      <c r="C17" s="16">
        <v>829</v>
      </c>
      <c r="D17" s="17">
        <f t="shared" si="0"/>
        <v>4.030148476173055</v>
      </c>
      <c r="E17">
        <f t="shared" si="1"/>
        <v>106.424039233715</v>
      </c>
      <c r="F17">
        <f t="shared" si="2"/>
        <v>81.01550552312902</v>
      </c>
      <c r="G17" s="16">
        <v>17</v>
      </c>
      <c r="H17" s="16">
        <v>2</v>
      </c>
      <c r="I17" s="16">
        <v>13.5</v>
      </c>
      <c r="J17" s="16">
        <v>-17</v>
      </c>
      <c r="K17" s="16">
        <v>32</v>
      </c>
      <c r="L17" s="16">
        <v>15.01</v>
      </c>
    </row>
    <row r="18" spans="1:6" ht="12.75">
      <c r="A18" s="16" t="s">
        <v>179</v>
      </c>
      <c r="B18" s="16">
        <v>3426</v>
      </c>
      <c r="C18" s="16">
        <v>2345</v>
      </c>
      <c r="D18" s="17">
        <f t="shared" si="0"/>
        <v>4.460915830858053</v>
      </c>
      <c r="E18">
        <f t="shared" si="1"/>
        <v>-36.49433786098337</v>
      </c>
      <c r="F18">
        <f t="shared" si="2"/>
        <v>80.07339281959585</v>
      </c>
    </row>
    <row r="19" spans="1:6" ht="12.75">
      <c r="A19" s="16"/>
      <c r="B19" s="16"/>
      <c r="C19" s="16"/>
      <c r="D19" s="17">
        <f t="shared" si="0"/>
      </c>
      <c r="E19">
        <f t="shared" si="1"/>
      </c>
      <c r="F19">
        <f t="shared" si="2"/>
      </c>
    </row>
    <row r="20" spans="1:4" ht="12.75">
      <c r="A20" s="17"/>
      <c r="B20" s="17"/>
      <c r="C20" s="17"/>
      <c r="D20" s="17"/>
    </row>
    <row r="21" ht="12.75">
      <c r="A21" s="70" t="s">
        <v>201</v>
      </c>
    </row>
    <row r="22" spans="1:14" ht="12.75">
      <c r="A22" s="70"/>
      <c r="B22" s="16" t="s">
        <v>180</v>
      </c>
      <c r="C22" s="16" t="s">
        <v>174</v>
      </c>
      <c r="D22" s="77" t="s">
        <v>202</v>
      </c>
      <c r="E22" s="77"/>
      <c r="F22" s="77"/>
      <c r="G22" s="77"/>
      <c r="H22" s="77"/>
      <c r="I22" s="77"/>
      <c r="J22" s="77"/>
      <c r="K22" s="77"/>
      <c r="L22" s="77"/>
      <c r="M22" s="77"/>
      <c r="N22" s="77"/>
    </row>
    <row r="23" spans="1:14" ht="12.75">
      <c r="A23" s="27" t="s">
        <v>204</v>
      </c>
      <c r="B23" s="17">
        <f>ACOS(SIN(VLOOKUP("Mond",$A$14:$F$18,6)*Grad)*SIN(VLOOKUP(B22,$A$14:$F$18,6)*Grad)+COS(VLOOKUP("Mond",$A$14:$F$18,6)*Grad)*COS(VLOOKUP(B22,$A$14:$F$18,6)*Grad)*COS(VLOOKUP("Mond",$A$14:$F$18,5)*Grad-VLOOKUP(B22,$A$14:$F$18,5)*Grad))/Grad</f>
        <v>8.830218029342902</v>
      </c>
      <c r="C23" s="17">
        <f>ACOS(SIN(VLOOKUP("Mond",$A$14:$F$18,6)*Grad)*SIN(VLOOKUP(C22,$A$14:$F$18,6)*Grad)+COS(VLOOKUP("Mond",$A$14:$F$18,6)*Grad)*COS(VLOOKUP(C22,$A$14:$F$18,6)*Grad)*COS(VLOOKUP("Mond",$A$14:$F$18,5)*Grad-VLOOKUP(C22,$A$14:$F$18,5)*Grad))/Grad</f>
        <v>4.159518630426291</v>
      </c>
      <c r="D23" s="53"/>
      <c r="E23" s="53"/>
      <c r="F23" s="53"/>
      <c r="G23" s="53"/>
      <c r="H23" s="53"/>
      <c r="I23" s="53"/>
      <c r="J23" s="53"/>
      <c r="K23" s="53"/>
      <c r="L23" s="53"/>
      <c r="M23" s="53"/>
      <c r="N23" s="53"/>
    </row>
    <row r="24" spans="1:14" ht="12.75">
      <c r="A24" s="27"/>
      <c r="B24" s="17"/>
      <c r="C24" s="17"/>
      <c r="D24" s="53"/>
      <c r="E24" s="53"/>
      <c r="F24" s="53"/>
      <c r="G24" s="53"/>
      <c r="H24" s="53"/>
      <c r="I24" s="53"/>
      <c r="J24" s="53"/>
      <c r="K24" s="53"/>
      <c r="L24" s="53"/>
      <c r="M24" s="53"/>
      <c r="N24" s="53"/>
    </row>
    <row r="25" spans="1:14" ht="12.75">
      <c r="A25" s="27"/>
      <c r="B25" s="7" t="s">
        <v>33</v>
      </c>
      <c r="C25" s="7" t="s">
        <v>34</v>
      </c>
      <c r="D25" s="53"/>
      <c r="E25" s="53"/>
      <c r="F25" s="53"/>
      <c r="G25" s="53"/>
      <c r="H25" s="53"/>
      <c r="I25" s="53"/>
      <c r="J25" s="53"/>
      <c r="K25" s="53"/>
      <c r="L25" s="53"/>
      <c r="M25" s="53"/>
      <c r="N25" s="53"/>
    </row>
    <row r="26" spans="1:12" ht="12.75">
      <c r="A26" s="5" t="s">
        <v>35</v>
      </c>
      <c r="B26" s="57">
        <v>255.46028518931678</v>
      </c>
      <c r="C26" s="57">
        <v>-17.520338710769785</v>
      </c>
      <c r="D26" s="79" t="s">
        <v>205</v>
      </c>
      <c r="E26" s="79"/>
      <c r="F26" s="79"/>
      <c r="G26" s="79"/>
      <c r="H26" s="79"/>
      <c r="I26" s="79"/>
      <c r="J26" s="79"/>
      <c r="K26" s="79"/>
      <c r="L26" s="79"/>
    </row>
    <row r="27" spans="1:3" ht="12.75">
      <c r="A27" t="s">
        <v>47</v>
      </c>
      <c r="B27" s="9">
        <f>(G17+(H17+I17/60)/60)*15</f>
        <v>255.55624999999998</v>
      </c>
      <c r="C27" s="52">
        <f>IF(J17&gt;0,(K17+L17/60)/60+J17,-(K17+L17/60)/60+J17)</f>
        <v>-17.537502777777778</v>
      </c>
    </row>
    <row r="29" spans="3:6" ht="12.75" customHeight="1">
      <c r="C29" s="78" t="s">
        <v>191</v>
      </c>
      <c r="D29" s="78" t="s">
        <v>190</v>
      </c>
      <c r="E29" s="78" t="s">
        <v>192</v>
      </c>
      <c r="F29" s="78" t="s">
        <v>189</v>
      </c>
    </row>
    <row r="30" spans="1:6" ht="12.75">
      <c r="A30" s="75" t="s">
        <v>45</v>
      </c>
      <c r="B30" s="75"/>
      <c r="C30" s="78"/>
      <c r="D30" s="78"/>
      <c r="E30" s="78"/>
      <c r="F30" s="78"/>
    </row>
    <row r="31" spans="1:6" ht="12.75">
      <c r="A31" s="16" t="s">
        <v>172</v>
      </c>
      <c r="B31" s="16" t="s">
        <v>174</v>
      </c>
      <c r="C31">
        <f aca="true" t="shared" si="3" ref="C31:C38">ACOS(SIN(VLOOKUP(A31,$A$14:$F$18,6)*Grad)*SIN(VLOOKUP(B31,$A$14:$F$18,6)*Grad)+COS(VLOOKUP(A31,$A$14:$F$18,6)*Grad)*COS(VLOOKUP(B31,$A$14:$F$18,6)*Grad)*COS(VLOOKUP(A31,$A$14:$F$18,5)*Grad-VLOOKUP(B31,$A$14:$F$18,5)*Grad))/Grad</f>
        <v>6.869819564996662</v>
      </c>
      <c r="D31">
        <f>IF(AND(A31&lt;&gt;"",A31&lt;&gt;"Mond",B31&lt;&gt;"Mond"),ACOS(SIN(VLOOKUP(A31,Bezugssterne!$A$7:$I$24,9)*Grad)*SIN(VLOOKUP(B31,Bezugssterne!$A$7:$I$24,9)*Grad)+COS(VLOOKUP(A31,Bezugssterne!$A$7:$I$24,9)*Grad)*COS(VLOOKUP(B31,Bezugssterne!$A$7:$I$24,9)*Grad)*COS(VLOOKUP(A31,Bezugssterne!$A$7:$I$24,5)*Grad-VLOOKUP(B31,Bezugssterne!$A$7:$I$24,5)*Grad))/Grad,"")</f>
        <v>6.864503351325202</v>
      </c>
      <c r="E31">
        <f>IF(AND(C31&lt;&gt;"",D31&lt;&gt;""),(C31-D31)^2,"")</f>
        <v>2.8262127800615398E-05</v>
      </c>
      <c r="F31" s="13">
        <f>SUM(E31:E40)</f>
        <v>0.00020468908940580297</v>
      </c>
    </row>
    <row r="32" spans="1:5" ht="12.75">
      <c r="A32" s="16" t="s">
        <v>172</v>
      </c>
      <c r="B32" s="16" t="s">
        <v>180</v>
      </c>
      <c r="C32">
        <f>ACOS(SIN(VLOOKUP(A32,$A$14:$F$18,6)*Grad)*SIN(VLOOKUP(B32,$A$14:$F$18,6)*Grad)+COS(VLOOKUP(A32,$A$14:$F$18,6)*Grad)*COS(VLOOKUP(B32,$A$14:$F$18,6)*Grad)*COS(VLOOKUP(A32,$A$14:$F$18,5)*Grad-VLOOKUP(B32,$A$14:$F$18,5)*Grad))/Grad</f>
        <v>9.670358454841468</v>
      </c>
      <c r="D32">
        <f>IF(AND(A32&lt;&gt;"",A32&lt;&gt;"Mond",B32&lt;&gt;"Mond"),ACOS(SIN(VLOOKUP(A32,Bezugssterne!$A$7:$I$24,9)*Grad)*SIN(VLOOKUP(B32,Bezugssterne!$A$7:$I$24,9)*Grad)+COS(VLOOKUP(A32,Bezugssterne!$A$7:$I$24,9)*Grad)*COS(VLOOKUP(B32,Bezugssterne!$A$7:$I$24,9)*Grad)*COS(VLOOKUP(A32,Bezugssterne!$A$7:$I$24,5)*Grad-VLOOKUP(B32,Bezugssterne!$A$7:$I$24,5)*Grad))/Grad,"")</f>
        <v>9.666263792792888</v>
      </c>
      <c r="E32">
        <f aca="true" t="shared" si="4" ref="E32:E38">IF(AND(C32&lt;&gt;"",D32&lt;&gt;""),(C32-D32)^2,"")</f>
        <v>1.6766257292079544E-05</v>
      </c>
    </row>
    <row r="33" spans="1:5" ht="12.75">
      <c r="A33" s="16" t="s">
        <v>172</v>
      </c>
      <c r="B33" s="16" t="s">
        <v>179</v>
      </c>
      <c r="C33">
        <f t="shared" si="3"/>
        <v>9.576278657190805</v>
      </c>
      <c r="D33">
        <f>IF(AND(A33&lt;&gt;"",A33&lt;&gt;"Mond",B33&lt;&gt;"Mond"),ACOS(SIN(VLOOKUP(A33,Bezugssterne!$A$7:$I$24,9)*Grad)*SIN(VLOOKUP(B33,Bezugssterne!$A$7:$I$24,9)*Grad)+COS(VLOOKUP(A33,Bezugssterne!$A$7:$I$24,9)*Grad)*COS(VLOOKUP(B33,Bezugssterne!$A$7:$I$24,9)*Grad)*COS(VLOOKUP(A33,Bezugssterne!$A$7:$I$24,5)*Grad-VLOOKUP(B33,Bezugssterne!$A$7:$I$24,5)*Grad))/Grad,"")</f>
        <v>9.588881448070275</v>
      </c>
      <c r="E33">
        <f t="shared" si="4"/>
        <v>0.0001588303379516445</v>
      </c>
    </row>
    <row r="34" spans="1:7" ht="12.75">
      <c r="A34" s="16" t="s">
        <v>174</v>
      </c>
      <c r="B34" s="16" t="s">
        <v>180</v>
      </c>
      <c r="C34">
        <f>ACOS(SIN(VLOOKUP(A34,$A$14:$F$18,6)*Grad)*SIN(VLOOKUP(B34,$A$14:$F$18,6)*Grad)+COS(VLOOKUP(A34,$A$14:$F$18,6)*Grad)*COS(VLOOKUP(B34,$A$14:$F$18,6)*Grad)*COS(VLOOKUP(A34,$A$14:$F$18,5)*Grad-VLOOKUP(B34,$A$14:$F$18,5)*Grad))/Grad</f>
        <v>8.519714688167475</v>
      </c>
      <c r="D34">
        <f>IF(AND(A34&lt;&gt;"",A34&lt;&gt;"Mond",B34&lt;&gt;"Mond"),ACOS(SIN(VLOOKUP(A34,Bezugssterne!$A$7:$I$24,9)*Grad)*SIN(VLOOKUP(B34,Bezugssterne!$A$7:$I$24,9)*Grad)+COS(VLOOKUP(A34,Bezugssterne!$A$7:$I$24,9)*Grad)*COS(VLOOKUP(B34,Bezugssterne!$A$7:$I$24,9)*Grad)*COS(VLOOKUP(A34,Bezugssterne!$A$7:$I$24,5)*Grad-VLOOKUP(B34,Bezugssterne!$A$7:$I$24,5)*Grad))/Grad,"")</f>
        <v>8.520345385372067</v>
      </c>
      <c r="E34">
        <f t="shared" si="4"/>
        <v>3.977789638801226E-07</v>
      </c>
      <c r="F34" s="56"/>
      <c r="G34" s="56"/>
    </row>
    <row r="35" spans="1:7" ht="12.75">
      <c r="A35" s="16" t="s">
        <v>174</v>
      </c>
      <c r="B35" s="16" t="s">
        <v>179</v>
      </c>
      <c r="C35">
        <f t="shared" si="3"/>
        <v>10.555229813269543</v>
      </c>
      <c r="D35">
        <f>IF(AND(A35&lt;&gt;"",A35&lt;&gt;"Mond",B35&lt;&gt;"Mond"),ACOS(SIN(VLOOKUP(A35,Bezugssterne!$A$7:$I$24,9)*Grad)*SIN(VLOOKUP(B35,Bezugssterne!$A$7:$I$24,9)*Grad)+COS(VLOOKUP(A35,Bezugssterne!$A$7:$I$24,9)*Grad)*COS(VLOOKUP(B35,Bezugssterne!$A$7:$I$24,9)*Grad)*COS(VLOOKUP(A35,Bezugssterne!$A$7:$I$24,5)*Grad-VLOOKUP(B35,Bezugssterne!$A$7:$I$24,5)*Grad))/Grad,"")</f>
        <v>10.554572099503849</v>
      </c>
      <c r="E35">
        <f t="shared" si="4"/>
        <v>4.3258739758339825E-07</v>
      </c>
      <c r="F35" s="56"/>
      <c r="G35" s="56"/>
    </row>
    <row r="36" spans="1:5" ht="12.75">
      <c r="A36" s="16" t="s">
        <v>10</v>
      </c>
      <c r="B36" s="16" t="s">
        <v>172</v>
      </c>
      <c r="C36">
        <f t="shared" si="3"/>
        <v>2.726886165821651</v>
      </c>
      <c r="D36">
        <f>IF(AND(A36&lt;&gt;"",A36&lt;&gt;"Mond",B36&lt;&gt;"Mond"),ACOS(SIN(VLOOKUP(A36,Bezugssterne!$A$7:$I$24,9)*Grad)*SIN(VLOOKUP(B36,Bezugssterne!$A$7:$I$24,9)*Grad)+COS(VLOOKUP(A36,Bezugssterne!$A$7:$I$24,9)*Grad)*COS(VLOOKUP(B36,Bezugssterne!$A$7:$I$24,9)*Grad)*COS(VLOOKUP(A36,Bezugssterne!$A$7:$I$24,5)*Grad-VLOOKUP(B36,Bezugssterne!$A$7:$I$24,5)*Grad))/Grad,"")</f>
      </c>
      <c r="E36">
        <f t="shared" si="4"/>
      </c>
    </row>
    <row r="37" spans="1:5" ht="12.75">
      <c r="A37" s="16" t="s">
        <v>10</v>
      </c>
      <c r="B37" s="16" t="s">
        <v>174</v>
      </c>
      <c r="C37">
        <f t="shared" si="3"/>
        <v>4.159518630426291</v>
      </c>
      <c r="D37">
        <f>IF(AND(A37&lt;&gt;"",A37&lt;&gt;"Mond",B37&lt;&gt;"Mond"),ACOS(SIN(VLOOKUP(A37,Bezugssterne!$A$7:$I$24,9)*Grad)*SIN(VLOOKUP(B37,Bezugssterne!$A$7:$I$24,9)*Grad)+COS(VLOOKUP(A37,Bezugssterne!$A$7:$I$24,9)*Grad)*COS(VLOOKUP(B37,Bezugssterne!$A$7:$I$24,9)*Grad)*COS(VLOOKUP(A37,Bezugssterne!$A$7:$I$24,5)*Grad-VLOOKUP(B37,Bezugssterne!$A$7:$I$24,5)*Grad))/Grad,"")</f>
      </c>
      <c r="E37">
        <f t="shared" si="4"/>
      </c>
    </row>
    <row r="38" spans="1:5" ht="12.75">
      <c r="A38" s="16" t="s">
        <v>10</v>
      </c>
      <c r="B38" s="16" t="s">
        <v>180</v>
      </c>
      <c r="C38">
        <f t="shared" si="3"/>
        <v>8.830218029342902</v>
      </c>
      <c r="D38">
        <f>IF(AND(A38&lt;&gt;"",A38&lt;&gt;"Mond",B38&lt;&gt;"Mond"),ACOS(SIN(VLOOKUP(A38,Bezugssterne!$A$7:$I$24,9)*Grad)*SIN(VLOOKUP(B38,Bezugssterne!$A$7:$I$24,9)*Grad)+COS(VLOOKUP(A38,Bezugssterne!$A$7:$I$24,9)*Grad)*COS(VLOOKUP(B38,Bezugssterne!$A$7:$I$24,9)*Grad)*COS(VLOOKUP(A38,Bezugssterne!$A$7:$I$24,5)*Grad-VLOOKUP(B38,Bezugssterne!$A$7:$I$24,5)*Grad))/Grad,"")</f>
      </c>
      <c r="E38">
        <f t="shared" si="4"/>
      </c>
    </row>
    <row r="39" spans="1:4" ht="12.75">
      <c r="A39" s="16"/>
      <c r="B39" s="16"/>
      <c r="D39">
        <f>IF(AND(A39&lt;&gt;"",A39&lt;&gt;"Mond",B39&lt;&gt;"Mond"),ACOS(SIN(VLOOKUP(A39,Bezugssterne!$A$7:$I$24,9)*Grad)*SIN(VLOOKUP(B39,Bezugssterne!$A$7:$I$24,9)*Grad)+COS(VLOOKUP(A39,Bezugssterne!$A$7:$I$24,9)*Grad)*COS(VLOOKUP(B39,Bezugssterne!$A$7:$I$24,9)*Grad)*COS(VLOOKUP(A39,Bezugssterne!$A$7:$I$24,5)*Grad-VLOOKUP(B39,Bezugssterne!$A$7:$I$24,5)*Grad))/Grad,"")</f>
      </c>
    </row>
    <row r="40" spans="1:4" ht="12.75">
      <c r="A40" s="16"/>
      <c r="B40" s="16"/>
      <c r="D40">
        <f>IF(AND(A40&lt;&gt;"",A40&lt;&gt;"Mond",B40&lt;&gt;"Mond"),ACOS(SIN(VLOOKUP(A40,Bezugssterne!$A$7:$I$24,9)*Grad)*SIN(VLOOKUP(B40,Bezugssterne!$A$7:$I$24,9)*Grad)+COS(VLOOKUP(A40,Bezugssterne!$A$7:$I$24,9)*Grad)*COS(VLOOKUP(B40,Bezugssterne!$A$7:$I$24,9)*Grad)*COS(VLOOKUP(A40,Bezugssterne!$A$7:$I$24,5)*Grad-VLOOKUP(B40,Bezugssterne!$A$7:$I$24,5)*Grad))/Grad,"")</f>
      </c>
    </row>
  </sheetData>
  <mergeCells count="16">
    <mergeCell ref="A21:A22"/>
    <mergeCell ref="D22:N22"/>
    <mergeCell ref="D26:L26"/>
    <mergeCell ref="A30:B30"/>
    <mergeCell ref="D29:D30"/>
    <mergeCell ref="E29:E30"/>
    <mergeCell ref="C29:C30"/>
    <mergeCell ref="F29:F30"/>
    <mergeCell ref="E12:F12"/>
    <mergeCell ref="A12:D12"/>
    <mergeCell ref="G16:L16"/>
    <mergeCell ref="A1:N2"/>
    <mergeCell ref="A3:N3"/>
    <mergeCell ref="A4:N5"/>
    <mergeCell ref="A6:N6"/>
    <mergeCell ref="C10:I10"/>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P40"/>
  <sheetViews>
    <sheetView tabSelected="1" workbookViewId="0" topLeftCell="A1">
      <selection activeCell="C10" sqref="C10:I10"/>
    </sheetView>
  </sheetViews>
  <sheetFormatPr defaultColWidth="11.421875" defaultRowHeight="12.75"/>
  <cols>
    <col min="1" max="1" width="25.00390625" style="0" customWidth="1"/>
    <col min="6" max="6" width="14.140625" style="0" customWidth="1"/>
  </cols>
  <sheetData>
    <row r="1" spans="1:14" ht="12.75">
      <c r="A1" s="83" t="s">
        <v>195</v>
      </c>
      <c r="B1" s="83"/>
      <c r="C1" s="83"/>
      <c r="D1" s="83"/>
      <c r="E1" s="83"/>
      <c r="F1" s="83"/>
      <c r="G1" s="83"/>
      <c r="H1" s="83"/>
      <c r="I1" s="83"/>
      <c r="J1" s="83"/>
      <c r="K1" s="83"/>
      <c r="L1" s="83"/>
      <c r="M1" s="83"/>
      <c r="N1" s="83"/>
    </row>
    <row r="2" spans="1:14" ht="12.75">
      <c r="A2" s="83"/>
      <c r="B2" s="83"/>
      <c r="C2" s="83"/>
      <c r="D2" s="83"/>
      <c r="E2" s="83"/>
      <c r="F2" s="83"/>
      <c r="G2" s="83"/>
      <c r="H2" s="83"/>
      <c r="I2" s="83"/>
      <c r="J2" s="83"/>
      <c r="K2" s="83"/>
      <c r="L2" s="83"/>
      <c r="M2" s="83"/>
      <c r="N2" s="83"/>
    </row>
    <row r="3" spans="1:14" ht="12.75">
      <c r="A3" s="77" t="s">
        <v>196</v>
      </c>
      <c r="B3" s="77"/>
      <c r="C3" s="77"/>
      <c r="D3" s="77"/>
      <c r="E3" s="77"/>
      <c r="F3" s="77"/>
      <c r="G3" s="77"/>
      <c r="H3" s="77"/>
      <c r="I3" s="77"/>
      <c r="J3" s="77"/>
      <c r="K3" s="77"/>
      <c r="L3" s="77"/>
      <c r="M3" s="77"/>
      <c r="N3" s="77"/>
    </row>
    <row r="4" spans="1:14" ht="12.75">
      <c r="A4" s="83" t="s">
        <v>198</v>
      </c>
      <c r="B4" s="83"/>
      <c r="C4" s="83"/>
      <c r="D4" s="83"/>
      <c r="E4" s="83"/>
      <c r="F4" s="83"/>
      <c r="G4" s="83"/>
      <c r="H4" s="83"/>
      <c r="I4" s="83"/>
      <c r="J4" s="83"/>
      <c r="K4" s="83"/>
      <c r="L4" s="83"/>
      <c r="M4" s="83"/>
      <c r="N4" s="83"/>
    </row>
    <row r="5" spans="1:14" ht="12.75">
      <c r="A5" s="83"/>
      <c r="B5" s="83"/>
      <c r="C5" s="83"/>
      <c r="D5" s="83"/>
      <c r="E5" s="83"/>
      <c r="F5" s="83"/>
      <c r="G5" s="83"/>
      <c r="H5" s="83"/>
      <c r="I5" s="83"/>
      <c r="J5" s="83"/>
      <c r="K5" s="83"/>
      <c r="L5" s="83"/>
      <c r="M5" s="83"/>
      <c r="N5" s="83"/>
    </row>
    <row r="6" spans="1:14" ht="12.75">
      <c r="A6" s="77" t="s">
        <v>197</v>
      </c>
      <c r="B6" s="77"/>
      <c r="C6" s="77"/>
      <c r="D6" s="77"/>
      <c r="E6" s="77"/>
      <c r="F6" s="77"/>
      <c r="G6" s="77"/>
      <c r="H6" s="77"/>
      <c r="I6" s="77"/>
      <c r="J6" s="77"/>
      <c r="K6" s="77"/>
      <c r="L6" s="77"/>
      <c r="M6" s="77"/>
      <c r="N6" s="77"/>
    </row>
    <row r="8" spans="1:2" ht="12.75">
      <c r="A8" t="s">
        <v>193</v>
      </c>
      <c r="B8" s="54">
        <v>42513</v>
      </c>
    </row>
    <row r="9" spans="1:2" ht="12.75">
      <c r="A9" t="s">
        <v>194</v>
      </c>
      <c r="B9" s="55">
        <v>0.7781712962962963</v>
      </c>
    </row>
    <row r="10" spans="1:9" ht="12.75">
      <c r="A10" t="s">
        <v>8</v>
      </c>
      <c r="B10" s="15">
        <v>31.2</v>
      </c>
      <c r="C10" s="77" t="s">
        <v>223</v>
      </c>
      <c r="D10" s="77"/>
      <c r="E10" s="77"/>
      <c r="F10" s="77"/>
      <c r="G10" s="77"/>
      <c r="H10" s="77"/>
      <c r="I10" s="77"/>
    </row>
    <row r="11" ht="12.75">
      <c r="B11" s="3"/>
    </row>
    <row r="12" spans="1:6" ht="12.75">
      <c r="A12" s="82"/>
      <c r="B12" s="82"/>
      <c r="C12" s="82"/>
      <c r="D12" s="82"/>
      <c r="E12" s="82"/>
      <c r="F12" s="82"/>
    </row>
    <row r="13" spans="1:6" ht="12.75">
      <c r="A13" s="17" t="s">
        <v>51</v>
      </c>
      <c r="B13" s="17" t="s">
        <v>13</v>
      </c>
      <c r="C13" s="17" t="s">
        <v>14</v>
      </c>
      <c r="D13" s="17" t="s">
        <v>15</v>
      </c>
      <c r="E13" t="s">
        <v>17</v>
      </c>
      <c r="F13" t="s">
        <v>18</v>
      </c>
    </row>
    <row r="14" spans="1:6" ht="12.75">
      <c r="A14" s="16" t="s">
        <v>10</v>
      </c>
      <c r="B14" s="16">
        <v>2266</v>
      </c>
      <c r="C14" s="16">
        <v>2848</v>
      </c>
      <c r="D14" s="17">
        <f aca="true" t="shared" si="0" ref="D14:D19">IF(A14="","",SQRT((B14-xM)^2+(C14-yM)^2)*Massstab)</f>
        <v>5.015864754955022</v>
      </c>
      <c r="E14">
        <f aca="true" t="shared" si="1" ref="E14:E19">IF(A14="","",ATAN2(B14-xM,-C14+yM)/Grad)</f>
        <v>-106.22876885411051</v>
      </c>
      <c r="F14">
        <f aca="true" t="shared" si="2" ref="F14:F19">IF(A14="","",ATAN($B$10/D14)/Grad)</f>
        <v>80.86699679699454</v>
      </c>
    </row>
    <row r="15" spans="1:6" ht="12.75">
      <c r="A15" s="16" t="s">
        <v>172</v>
      </c>
      <c r="B15" s="16">
        <v>1714</v>
      </c>
      <c r="C15" s="16">
        <v>2107</v>
      </c>
      <c r="D15" s="17">
        <f t="shared" si="0"/>
        <v>4.112124420539826</v>
      </c>
      <c r="E15">
        <f t="shared" si="1"/>
        <v>-156.6519357336299</v>
      </c>
      <c r="F15">
        <f t="shared" si="2"/>
        <v>82.4917571004814</v>
      </c>
    </row>
    <row r="16" spans="1:12" ht="12.75">
      <c r="A16" s="16" t="s">
        <v>175</v>
      </c>
      <c r="B16" s="16">
        <v>2140</v>
      </c>
      <c r="C16" s="16">
        <v>1341</v>
      </c>
      <c r="D16" s="17">
        <f t="shared" si="0"/>
        <v>2.5586734394994606</v>
      </c>
      <c r="E16">
        <f t="shared" si="1"/>
        <v>139.43003734941868</v>
      </c>
      <c r="F16">
        <f t="shared" si="2"/>
        <v>85.31173536143162</v>
      </c>
      <c r="G16" s="80" t="s">
        <v>46</v>
      </c>
      <c r="H16" s="80"/>
      <c r="I16" s="80"/>
      <c r="J16" s="80"/>
      <c r="K16" s="80"/>
      <c r="L16" s="80"/>
    </row>
    <row r="17" spans="1:12" ht="12.75">
      <c r="A17" s="16" t="s">
        <v>180</v>
      </c>
      <c r="B17" s="16">
        <v>2943</v>
      </c>
      <c r="C17" s="16">
        <v>2068</v>
      </c>
      <c r="D17" s="17">
        <f t="shared" si="0"/>
        <v>2.101292576011251</v>
      </c>
      <c r="E17">
        <f t="shared" si="1"/>
        <v>-44.08798792396488</v>
      </c>
      <c r="F17">
        <f t="shared" si="2"/>
        <v>86.14699819703408</v>
      </c>
      <c r="G17" s="16">
        <v>17</v>
      </c>
      <c r="H17" s="16">
        <v>38</v>
      </c>
      <c r="I17" s="16">
        <v>55.79</v>
      </c>
      <c r="J17" s="16">
        <v>-17</v>
      </c>
      <c r="K17" s="16">
        <v>59</v>
      </c>
      <c r="L17" s="16">
        <v>34.52</v>
      </c>
    </row>
    <row r="18" spans="1:6" ht="12.75">
      <c r="A18" s="16"/>
      <c r="B18" s="16"/>
      <c r="C18" s="16"/>
      <c r="D18" s="17">
        <f t="shared" si="0"/>
      </c>
      <c r="E18">
        <f t="shared" si="1"/>
      </c>
      <c r="F18">
        <f t="shared" si="2"/>
      </c>
    </row>
    <row r="19" spans="1:6" ht="12.75">
      <c r="A19" s="16"/>
      <c r="B19" s="16"/>
      <c r="C19" s="16"/>
      <c r="D19" s="17">
        <f t="shared" si="0"/>
      </c>
      <c r="E19">
        <f t="shared" si="1"/>
      </c>
      <c r="F19">
        <f t="shared" si="2"/>
      </c>
    </row>
    <row r="20" spans="1:4" ht="12.75">
      <c r="A20" s="17"/>
      <c r="B20" s="17"/>
      <c r="C20" s="17"/>
      <c r="D20" s="17"/>
    </row>
    <row r="21" ht="12.75">
      <c r="A21" s="70" t="s">
        <v>201</v>
      </c>
    </row>
    <row r="22" spans="1:16" ht="12.75">
      <c r="A22" s="70"/>
      <c r="B22" s="16" t="s">
        <v>172</v>
      </c>
      <c r="C22" s="16" t="s">
        <v>180</v>
      </c>
      <c r="D22" s="77" t="s">
        <v>202</v>
      </c>
      <c r="E22" s="77"/>
      <c r="F22" s="77"/>
      <c r="G22" s="77"/>
      <c r="H22" s="77"/>
      <c r="I22" s="77"/>
      <c r="J22" s="77"/>
      <c r="K22" s="77"/>
      <c r="L22" s="77"/>
      <c r="M22" s="77"/>
      <c r="N22" s="77"/>
      <c r="O22" s="58"/>
      <c r="P22" s="58"/>
    </row>
    <row r="23" spans="1:16" ht="12.75">
      <c r="A23" s="27" t="s">
        <v>204</v>
      </c>
      <c r="B23" s="17">
        <f>ACOS(SIN(VLOOKUP("Mond",$A$14:$F$18,6)*Grad)*SIN(VLOOKUP(B22,$A$14:$F$18,6)*Grad)+COS(VLOOKUP("Mond",$A$14:$F$18,6)*Grad)*COS(VLOOKUP(B22,$A$14:$F$18,6)*Grad)*COS(VLOOKUP("Mond",$A$14:$F$18,5)*Grad-VLOOKUP(B22,$A$14:$F$18,5)*Grad))/Grad</f>
        <v>7.219753425920633</v>
      </c>
      <c r="C23" s="17">
        <f>ACOS(SIN(VLOOKUP("Mond",$A$14:$F$18,6)*Grad)*SIN(VLOOKUP(C22,$A$14:$F$18,6)*Grad)+COS(VLOOKUP("Mond",$A$14:$F$18,6)*Grad)*COS(VLOOKUP(C22,$A$14:$F$18,6)*Grad)*COS(VLOOKUP("Mond",$A$14:$F$18,5)*Grad-VLOOKUP(C22,$A$14:$F$18,5)*Grad))/Grad</f>
        <v>8.079040409315889</v>
      </c>
      <c r="D23" s="53"/>
      <c r="E23" s="53"/>
      <c r="F23" s="53"/>
      <c r="G23" s="53"/>
      <c r="H23" s="53"/>
      <c r="I23" s="53"/>
      <c r="J23" s="53"/>
      <c r="K23" s="53"/>
      <c r="L23" s="53"/>
      <c r="M23" s="53"/>
      <c r="N23" s="53"/>
      <c r="O23" s="58"/>
      <c r="P23" s="58"/>
    </row>
    <row r="24" spans="1:16" ht="12.75">
      <c r="A24" s="27"/>
      <c r="B24" s="17"/>
      <c r="C24" s="17"/>
      <c r="D24" s="53"/>
      <c r="E24" s="53"/>
      <c r="F24" s="53"/>
      <c r="G24" s="53"/>
      <c r="H24" s="53"/>
      <c r="I24" s="53"/>
      <c r="J24" s="53"/>
      <c r="K24" s="53"/>
      <c r="L24" s="53"/>
      <c r="M24" s="53"/>
      <c r="N24" s="53"/>
      <c r="O24" s="58"/>
      <c r="P24" s="58"/>
    </row>
    <row r="25" spans="2:3" ht="12.75">
      <c r="B25" s="7" t="s">
        <v>33</v>
      </c>
      <c r="C25" s="7" t="s">
        <v>34</v>
      </c>
    </row>
    <row r="26" spans="1:12" ht="12.75">
      <c r="A26" s="5" t="s">
        <v>35</v>
      </c>
      <c r="B26" s="57">
        <v>264.76800899153596</v>
      </c>
      <c r="C26" s="57">
        <v>-17.960825113633888</v>
      </c>
      <c r="D26" s="79" t="s">
        <v>205</v>
      </c>
      <c r="E26" s="79"/>
      <c r="F26" s="79"/>
      <c r="G26" s="79"/>
      <c r="H26" s="79"/>
      <c r="I26" s="79"/>
      <c r="J26" s="79"/>
      <c r="K26" s="79"/>
      <c r="L26" s="79"/>
    </row>
    <row r="27" spans="1:3" ht="12.75">
      <c r="A27" t="s">
        <v>47</v>
      </c>
      <c r="B27" s="4">
        <f>(G17+(H17+I17/60)/60)*15</f>
        <v>264.73245833333334</v>
      </c>
      <c r="C27" s="52">
        <f>IF(J17&gt;0,(K17+L17/60)/60+J17,-(K17+L17/60)/60+J17)</f>
        <v>-17.992922222222223</v>
      </c>
    </row>
    <row r="29" spans="3:6" ht="12.75">
      <c r="C29" s="78" t="s">
        <v>191</v>
      </c>
      <c r="D29" s="78" t="s">
        <v>190</v>
      </c>
      <c r="E29" s="78" t="s">
        <v>192</v>
      </c>
      <c r="F29" s="78" t="s">
        <v>189</v>
      </c>
    </row>
    <row r="30" spans="1:6" ht="12.75">
      <c r="A30" s="75" t="s">
        <v>45</v>
      </c>
      <c r="B30" s="75"/>
      <c r="C30" s="78"/>
      <c r="D30" s="78"/>
      <c r="E30" s="78"/>
      <c r="F30" s="78"/>
    </row>
    <row r="31" spans="1:6" ht="12.75">
      <c r="A31" s="16" t="s">
        <v>172</v>
      </c>
      <c r="B31" s="16" t="s">
        <v>175</v>
      </c>
      <c r="C31">
        <f>ACOS(SIN(VLOOKUP(A31,$A$14:$F$17,6)*Grad)*SIN(VLOOKUP(B31,$A$14:$F$17,6)*Grad)+COS(VLOOKUP(A31,$A$14:$F$17,6)*Grad)*COS(VLOOKUP(B31,$A$14:$F$17,6)*Grad)*COS(VLOOKUP(A31,$A$14:$F$17,5)*Grad-VLOOKUP(B31,$A$14:$F$17,5)*Grad))/Grad</f>
        <v>6.877472562661696</v>
      </c>
      <c r="D31">
        <f>IF(AND(A31&lt;&gt;"",A31&lt;&gt;"Mond",B31&lt;&gt;"Mond"),ACOS(SIN(VLOOKUP(A31,Bezugssterne!$A$7:$I$24,9)*Grad)*SIN(VLOOKUP(B31,Bezugssterne!$A$7:$I$24,9)*Grad)+COS(VLOOKUP(A31,Bezugssterne!$A$7:$I$24,9)*Grad)*COS(VLOOKUP(B31,Bezugssterne!$A$7:$I$24,9)*Grad)*COS(VLOOKUP(A31,Bezugssterne!$A$7:$I$24,5)*Grad-VLOOKUP(B31,Bezugssterne!$A$7:$I$24,5)*Grad))/Grad,"")</f>
        <v>6.890092857567207</v>
      </c>
      <c r="E31">
        <f>IF(AND(C31&lt;&gt;"",D31&lt;&gt;""),(C31-D31)^2,"")</f>
        <v>0.00015927184350206068</v>
      </c>
      <c r="F31" s="13">
        <f>SUM(E31:E40)</f>
        <v>0.0005830410768802738</v>
      </c>
    </row>
    <row r="32" spans="1:5" ht="12.75">
      <c r="A32" s="16" t="s">
        <v>172</v>
      </c>
      <c r="B32" s="16" t="s">
        <v>180</v>
      </c>
      <c r="C32">
        <f>ACOS(SIN(VLOOKUP(A32,$A$14:$F$18,6)*Grad)*SIN(VLOOKUP(B32,$A$14:$F$18,6)*Grad)+COS(VLOOKUP(A32,$A$14:$F$18,6)*Grad)*COS(VLOOKUP(B32,$A$14:$F$18,6)*Grad)*COS(VLOOKUP(A32,$A$14:$F$18,5)*Grad-VLOOKUP(B32,$A$14:$F$18,5)*Grad))/Grad</f>
        <v>9.661669174530298</v>
      </c>
      <c r="D32">
        <f>IF(AND(A32&lt;&gt;"",A32&lt;&gt;"Mond",B32&lt;&gt;"Mond"),ACOS(SIN(VLOOKUP(A32,Bezugssterne!$A$7:$I$24,9)*Grad)*SIN(VLOOKUP(B32,Bezugssterne!$A$7:$I$24,9)*Grad)+COS(VLOOKUP(A32,Bezugssterne!$A$7:$I$24,9)*Grad)*COS(VLOOKUP(B32,Bezugssterne!$A$7:$I$24,9)*Grad)*COS(VLOOKUP(A32,Bezugssterne!$A$7:$I$24,5)*Grad-VLOOKUP(B32,Bezugssterne!$A$7:$I$24,5)*Grad))/Grad,"")</f>
        <v>9.666263792792888</v>
      </c>
      <c r="E32">
        <f aca="true" t="shared" si="3" ref="E32:E40">IF(AND(C32&lt;&gt;"",D32&lt;&gt;""),(C32-D32)^2,"")</f>
        <v>2.1110516978929632E-05</v>
      </c>
    </row>
    <row r="33" spans="1:5" ht="12.75">
      <c r="A33" s="16" t="s">
        <v>175</v>
      </c>
      <c r="B33" s="16" t="s">
        <v>180</v>
      </c>
      <c r="C33">
        <f>ACOS(SIN(VLOOKUP(A33,$A$14:$F$18,6)*Grad)*SIN(VLOOKUP(B33,$A$14:$F$18,6)*Grad)+COS(VLOOKUP(A33,$A$14:$F$18,6)*Grad)*COS(VLOOKUP(B33,$A$14:$F$18,6)*Grad)*COS(VLOOKUP(A33,$A$14:$F$18,5)*Grad-VLOOKUP(B33,$A$14:$F$18,5)*Grad))/Grad</f>
        <v>8.537272757809205</v>
      </c>
      <c r="D33">
        <f>IF(AND(A33&lt;&gt;"",A33&lt;&gt;"Mond",B33&lt;&gt;"Mond"),ACOS(SIN(VLOOKUP(A33,Bezugssterne!$A$7:$I$24,9)*Grad)*SIN(VLOOKUP(B33,Bezugssterne!$A$7:$I$24,9)*Grad)+COS(VLOOKUP(A33,Bezugssterne!$A$7:$I$24,9)*Grad)*COS(VLOOKUP(B33,Bezugssterne!$A$7:$I$24,9)*Grad)*COS(VLOOKUP(A33,Bezugssterne!$A$7:$I$24,5)*Grad-VLOOKUP(B33,Bezugssterne!$A$7:$I$24,5)*Grad))/Grad,"")</f>
        <v>8.55733911563516</v>
      </c>
      <c r="E33">
        <f t="shared" si="3"/>
        <v>0.0004026587163992835</v>
      </c>
    </row>
    <row r="34" spans="1:5" ht="12.75">
      <c r="A34" s="16" t="s">
        <v>10</v>
      </c>
      <c r="B34" s="16" t="s">
        <v>172</v>
      </c>
      <c r="C34">
        <f>ACOS(SIN(VLOOKUP(A34,$A$14:$F$18,6)*Grad)*SIN(VLOOKUP(B34,$A$14:$F$18,6)*Grad)+COS(VLOOKUP(A34,$A$14:$F$18,6)*Grad)*COS(VLOOKUP(B34,$A$14:$F$18,6)*Grad)*COS(VLOOKUP(A34,$A$14:$F$18,5)*Grad-VLOOKUP(B34,$A$14:$F$18,5)*Grad))/Grad</f>
        <v>7.219753425920633</v>
      </c>
      <c r="D34">
        <f>IF(AND(A34&lt;&gt;"",A34&lt;&gt;"Mond",B34&lt;&gt;"Mond"),ACOS(SIN(VLOOKUP(A34,Bezugssterne!$A$7:$I$24,9)*Grad)*SIN(VLOOKUP(B34,Bezugssterne!$A$7:$I$24,9)*Grad)+COS(VLOOKUP(A34,Bezugssterne!$A$7:$I$24,9)*Grad)*COS(VLOOKUP(B34,Bezugssterne!$A$7:$I$24,9)*Grad)*COS(VLOOKUP(A34,Bezugssterne!$A$7:$I$24,5)*Grad-VLOOKUP(B34,Bezugssterne!$A$7:$I$24,5)*Grad))/Grad,"")</f>
      </c>
      <c r="E34">
        <f t="shared" si="3"/>
      </c>
    </row>
    <row r="35" spans="1:5" ht="12.75">
      <c r="A35" s="16" t="s">
        <v>10</v>
      </c>
      <c r="B35" s="16" t="s">
        <v>175</v>
      </c>
      <c r="C35">
        <f>ACOS(SIN(VLOOKUP(A35,$A$14:$F$18,6)*Grad)*SIN(VLOOKUP(B35,$A$14:$F$18,6)*Grad)+COS(VLOOKUP(A35,$A$14:$F$18,6)*Grad)*COS(VLOOKUP(B35,$A$14:$F$18,6)*Grad)*COS(VLOOKUP(A35,$A$14:$F$18,5)*Grad-VLOOKUP(B35,$A$14:$F$18,5)*Grad))/Grad</f>
        <v>11.85466073768118</v>
      </c>
      <c r="D35">
        <f>IF(AND(A35&lt;&gt;"",A35&lt;&gt;"Mond",B35&lt;&gt;"Mond"),ACOS(SIN(VLOOKUP(A35,Bezugssterne!$A$7:$I$24,9)*Grad)*SIN(VLOOKUP(B35,Bezugssterne!$A$7:$I$24,9)*Grad)+COS(VLOOKUP(A35,Bezugssterne!$A$7:$I$24,9)*Grad)*COS(VLOOKUP(B35,Bezugssterne!$A$7:$I$24,9)*Grad)*COS(VLOOKUP(A35,Bezugssterne!$A$7:$I$24,5)*Grad-VLOOKUP(B35,Bezugssterne!$A$7:$I$24,5)*Grad))/Grad,"")</f>
      </c>
      <c r="E35">
        <f t="shared" si="3"/>
      </c>
    </row>
    <row r="36" spans="1:5" ht="12.75">
      <c r="A36" s="16" t="s">
        <v>10</v>
      </c>
      <c r="B36" s="16" t="s">
        <v>180</v>
      </c>
      <c r="C36">
        <f>ACOS(SIN(VLOOKUP(A36,$A$14:$F$18,6)*Grad)*SIN(VLOOKUP(B36,$A$14:$F$18,6)*Grad)+COS(VLOOKUP(A36,$A$14:$F$18,6)*Grad)*COS(VLOOKUP(B36,$A$14:$F$18,6)*Grad)*COS(VLOOKUP(A36,$A$14:$F$18,5)*Grad-VLOOKUP(B36,$A$14:$F$18,5)*Grad))/Grad</f>
        <v>8.079040409315889</v>
      </c>
      <c r="D36">
        <f>IF(AND(A36&lt;&gt;"",A36&lt;&gt;"Mond",B36&lt;&gt;"Mond"),ACOS(SIN(VLOOKUP(A36,Bezugssterne!$A$7:$I$24,9)*Grad)*SIN(VLOOKUP(B36,Bezugssterne!$A$7:$I$24,9)*Grad)+COS(VLOOKUP(A36,Bezugssterne!$A$7:$I$24,9)*Grad)*COS(VLOOKUP(B36,Bezugssterne!$A$7:$I$24,9)*Grad)*COS(VLOOKUP(A36,Bezugssterne!$A$7:$I$24,5)*Grad-VLOOKUP(B36,Bezugssterne!$A$7:$I$24,5)*Grad))/Grad,"")</f>
      </c>
      <c r="E36">
        <f t="shared" si="3"/>
      </c>
    </row>
    <row r="37" spans="1:5" ht="12.75">
      <c r="A37" s="16"/>
      <c r="B37" s="16"/>
      <c r="D37">
        <f>IF(AND(A37&lt;&gt;"",A37&lt;&gt;"Mond",B37&lt;&gt;"Mond"),ACOS(SIN(VLOOKUP(A37,Bezugssterne!$A$7:$I$24,9)*Grad)*SIN(VLOOKUP(B37,Bezugssterne!$A$7:$I$24,9)*Grad)+COS(VLOOKUP(A37,Bezugssterne!$A$7:$I$24,9)*Grad)*COS(VLOOKUP(B37,Bezugssterne!$A$7:$I$24,9)*Grad)*COS(VLOOKUP(A37,Bezugssterne!$A$7:$I$24,5)*Grad-VLOOKUP(B37,Bezugssterne!$A$7:$I$24,5)*Grad))/Grad,"")</f>
      </c>
      <c r="E37">
        <f t="shared" si="3"/>
      </c>
    </row>
    <row r="38" spans="1:5" ht="12.75">
      <c r="A38" s="16"/>
      <c r="B38" s="16"/>
      <c r="D38">
        <f>IF(AND(A38&lt;&gt;"",A38&lt;&gt;"Mond",B38&lt;&gt;"Mond"),ACOS(SIN(VLOOKUP(A38,Bezugssterne!$A$7:$I$24,9)*Grad)*SIN(VLOOKUP(B38,Bezugssterne!$A$7:$I$24,9)*Grad)+COS(VLOOKUP(A38,Bezugssterne!$A$7:$I$24,9)*Grad)*COS(VLOOKUP(B38,Bezugssterne!$A$7:$I$24,9)*Grad)*COS(VLOOKUP(A38,Bezugssterne!$A$7:$I$24,5)*Grad-VLOOKUP(B38,Bezugssterne!$A$7:$I$24,5)*Grad))/Grad,"")</f>
      </c>
      <c r="E38">
        <f t="shared" si="3"/>
      </c>
    </row>
    <row r="39" spans="1:5" ht="12.75">
      <c r="A39" s="16"/>
      <c r="B39" s="16"/>
      <c r="D39">
        <f>IF(AND(A39&lt;&gt;"",A39&lt;&gt;"Mond",B39&lt;&gt;"Mond"),ACOS(SIN(VLOOKUP(A39,Bezugssterne!$A$7:$I$24,9)*Grad)*SIN(VLOOKUP(B39,Bezugssterne!$A$7:$I$24,9)*Grad)+COS(VLOOKUP(A39,Bezugssterne!$A$7:$I$24,9)*Grad)*COS(VLOOKUP(B39,Bezugssterne!$A$7:$I$24,9)*Grad)*COS(VLOOKUP(A39,Bezugssterne!$A$7:$I$24,5)*Grad-VLOOKUP(B39,Bezugssterne!$A$7:$I$24,5)*Grad))/Grad,"")</f>
      </c>
      <c r="E39">
        <f t="shared" si="3"/>
      </c>
    </row>
    <row r="40" spans="1:5" ht="12.75">
      <c r="A40" s="16"/>
      <c r="B40" s="16"/>
      <c r="D40">
        <f>IF(AND(A40&lt;&gt;"",A40&lt;&gt;"Mond",B40&lt;&gt;"Mond"),ACOS(SIN(VLOOKUP(A40,Bezugssterne!$A$7:$I$24,9)*Grad)*SIN(VLOOKUP(B40,Bezugssterne!$A$7:$I$24,9)*Grad)+COS(VLOOKUP(A40,Bezugssterne!$A$7:$I$24,9)*Grad)*COS(VLOOKUP(B40,Bezugssterne!$A$7:$I$24,9)*Grad)*COS(VLOOKUP(A40,Bezugssterne!$A$7:$I$24,5)*Grad-VLOOKUP(B40,Bezugssterne!$A$7:$I$24,5)*Grad))/Grad,"")</f>
      </c>
      <c r="E40">
        <f t="shared" si="3"/>
      </c>
    </row>
  </sheetData>
  <mergeCells count="16">
    <mergeCell ref="C10:I10"/>
    <mergeCell ref="D22:N22"/>
    <mergeCell ref="A21:A22"/>
    <mergeCell ref="D26:L26"/>
    <mergeCell ref="A1:N2"/>
    <mergeCell ref="A3:N3"/>
    <mergeCell ref="A4:N5"/>
    <mergeCell ref="A6:N6"/>
    <mergeCell ref="E12:F12"/>
    <mergeCell ref="A12:D12"/>
    <mergeCell ref="G16:L16"/>
    <mergeCell ref="F29:F30"/>
    <mergeCell ref="A30:B30"/>
    <mergeCell ref="C29:C30"/>
    <mergeCell ref="D29:D30"/>
    <mergeCell ref="E29:E30"/>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J30"/>
  <sheetViews>
    <sheetView workbookViewId="0" topLeftCell="A1">
      <selection activeCell="D28" sqref="D28:J29"/>
    </sheetView>
  </sheetViews>
  <sheetFormatPr defaultColWidth="11.421875" defaultRowHeight="12.75"/>
  <cols>
    <col min="1" max="1" width="39.57421875" style="0" customWidth="1"/>
    <col min="2" max="2" width="12.421875" style="0" bestFit="1" customWidth="1"/>
  </cols>
  <sheetData>
    <row r="1" spans="1:2" ht="12.75">
      <c r="A1" t="s">
        <v>200</v>
      </c>
      <c r="B1" s="16">
        <v>3</v>
      </c>
    </row>
    <row r="2" ht="12.75">
      <c r="A2" t="s">
        <v>52</v>
      </c>
    </row>
    <row r="3" spans="1:3" ht="12.75">
      <c r="A3" s="17" t="str">
        <f>IF(Nr=1,'Messung 1'!B22,IF(Nr=2,'Messung 2'!B22,'Messung 3'!B22))</f>
        <v>Sabik</v>
      </c>
      <c r="B3" s="25">
        <f>VLOOKUP(A3,Bezugssterne!$A$7:$I$24,5)</f>
        <v>257.5947083333333</v>
      </c>
      <c r="C3" s="25">
        <f>VLOOKUP(A3,Bezugssterne!$A$7:$I$24,9)</f>
        <v>-15.724477777777778</v>
      </c>
    </row>
    <row r="4" spans="1:3" ht="12.75">
      <c r="A4" s="17" t="str">
        <f>IF(Nr=1,'Messung 1'!C22,IF(Nr=2,'Messung 2'!C22,'Messung 3'!C22))</f>
        <v>the Oph</v>
      </c>
      <c r="B4" s="25">
        <f>VLOOKUP(A4,Bezugssterne!$A$7:$I$24,5)</f>
        <v>260.502375</v>
      </c>
      <c r="C4" s="25">
        <f>VLOOKUP(A4,Bezugssterne!$A$7:$I$24,9)</f>
        <v>-24.99965277777778</v>
      </c>
    </row>
    <row r="5" ht="12.75">
      <c r="A5" t="s">
        <v>203</v>
      </c>
    </row>
    <row r="6" spans="1:2" ht="12.75">
      <c r="A6" t="str">
        <f>CONCATENATE("Mond-",A3)</f>
        <v>Mond-Sabik</v>
      </c>
      <c r="B6" s="59">
        <f>IF(Nr=1,'Messung 1'!B23,IF(Nr=2,'Messung 2'!B23,'Messung 3'!B23))</f>
        <v>7.219753425920633</v>
      </c>
    </row>
    <row r="7" spans="1:2" ht="12.75">
      <c r="A7" t="str">
        <f>CONCATENATE("Mond-",A4)</f>
        <v>Mond-the Oph</v>
      </c>
      <c r="B7" s="59">
        <f>IF(Nr=1,'Messung 1'!C23,IF(Nr=2,'Messung 2'!C23,'Messung 3'!C23))</f>
        <v>8.079040409315889</v>
      </c>
    </row>
    <row r="8" ht="12.75">
      <c r="B8" s="17"/>
    </row>
    <row r="9" spans="1:8" ht="12.75">
      <c r="A9" s="75" t="s">
        <v>53</v>
      </c>
      <c r="B9" s="75"/>
      <c r="C9" s="75"/>
      <c r="D9" s="75"/>
      <c r="E9" s="75"/>
      <c r="F9" s="75"/>
      <c r="G9" s="75"/>
      <c r="H9" s="75"/>
    </row>
    <row r="10" spans="1:8" ht="12.75">
      <c r="A10" s="82" t="s">
        <v>54</v>
      </c>
      <c r="B10" s="82"/>
      <c r="C10" s="82"/>
      <c r="D10" s="82"/>
      <c r="E10" s="82"/>
      <c r="F10" s="82"/>
      <c r="G10" s="82"/>
      <c r="H10" s="82"/>
    </row>
    <row r="11" spans="1:5" ht="12.75">
      <c r="A11" t="s">
        <v>55</v>
      </c>
      <c r="B11" t="s">
        <v>19</v>
      </c>
      <c r="C11" s="25">
        <f>COS(C3*Grad)*COS(B3*Grad)</f>
        <v>-0.20678590962832893</v>
      </c>
      <c r="D11" s="25">
        <f>COS(C3*Grad)*SIN(B3*Grad)</f>
        <v>-0.9401022528752613</v>
      </c>
      <c r="E11" s="25">
        <f>SIN(C3*Grad)</f>
        <v>-0.2710117003342156</v>
      </c>
    </row>
    <row r="12" spans="1:5" ht="12.75">
      <c r="A12" t="s">
        <v>56</v>
      </c>
      <c r="B12" t="s">
        <v>20</v>
      </c>
      <c r="C12" s="25">
        <f>COS(C4*Grad)*COS(B4*Grad)</f>
        <v>-0.14954730023763166</v>
      </c>
      <c r="D12" s="25">
        <f>COS(C4*Grad)*SIN(B4*Grad)</f>
        <v>-0.8938870466516605</v>
      </c>
      <c r="E12" s="25">
        <f>SIN(C4*Grad)</f>
        <v>-0.4226127693527584</v>
      </c>
    </row>
    <row r="13" spans="1:5" ht="12.75">
      <c r="A13" t="s">
        <v>57</v>
      </c>
      <c r="B13" t="s">
        <v>21</v>
      </c>
      <c r="C13" s="25">
        <f>COS(B6*Grad)</f>
        <v>0.9920714321769479</v>
      </c>
      <c r="D13" s="25"/>
      <c r="E13" s="25"/>
    </row>
    <row r="14" spans="1:5" ht="12.75">
      <c r="A14" t="s">
        <v>58</v>
      </c>
      <c r="B14" t="s">
        <v>22</v>
      </c>
      <c r="C14" s="25">
        <f>COS(B7*Grad)</f>
        <v>0.9900751350975955</v>
      </c>
      <c r="D14" s="25"/>
      <c r="E14" s="25"/>
    </row>
    <row r="15" spans="1:5" ht="12.75">
      <c r="A15" t="s">
        <v>59</v>
      </c>
      <c r="B15" t="s">
        <v>23</v>
      </c>
      <c r="C15" s="25">
        <f>D11*E12-E11*D12</f>
        <v>0.1550453681425845</v>
      </c>
      <c r="D15" s="25">
        <f>E11*C12-C11*E12</f>
        <v>-0.04686129781336531</v>
      </c>
      <c r="E15" s="25">
        <f>C11*D12-D11*C12</f>
        <v>0.044253492182033505</v>
      </c>
    </row>
    <row r="16" spans="2:5" ht="12.75">
      <c r="B16" t="s">
        <v>24</v>
      </c>
      <c r="C16" s="25">
        <f>C11*C12+D11*D12+E11*E12</f>
        <v>0.985802506090582</v>
      </c>
      <c r="D16" s="25"/>
      <c r="E16" s="25"/>
    </row>
    <row r="17" spans="2:5" ht="12.75">
      <c r="B17" t="s">
        <v>25</v>
      </c>
      <c r="C17" s="25">
        <f>1-C16^2</f>
        <v>0.028193418985528185</v>
      </c>
      <c r="D17" s="25"/>
      <c r="E17" s="25"/>
    </row>
    <row r="18" spans="1:5" ht="12.75">
      <c r="A18" t="s">
        <v>60</v>
      </c>
      <c r="B18" t="s">
        <v>26</v>
      </c>
      <c r="C18" s="25">
        <f>(C13-C14*C16)/C17*C11+(C14-C13*C16)/C17*C12</f>
        <v>-0.1818627285150605</v>
      </c>
      <c r="D18" s="25">
        <f>(C13-C14*C16)/C17*D11+(C14-C13*C16)/C17*D12</f>
        <v>-0.9185555669974104</v>
      </c>
      <c r="E18" s="25">
        <f>(C13-C14*C16)/C17*E11+(C14-C13*C16)/C17*E12</f>
        <v>-0.3355154939656009</v>
      </c>
    </row>
    <row r="20" spans="1:4" ht="12.75">
      <c r="A20" t="s">
        <v>68</v>
      </c>
      <c r="B20" t="s">
        <v>16</v>
      </c>
      <c r="C20" t="s">
        <v>27</v>
      </c>
      <c r="D20" t="s">
        <v>28</v>
      </c>
    </row>
    <row r="21" spans="1:4" ht="12.75">
      <c r="A21" t="s">
        <v>61</v>
      </c>
      <c r="B21" s="47">
        <f>C15^2+D15^2+E15^2</f>
        <v>0.028193418985527772</v>
      </c>
      <c r="C21" s="47">
        <f>2*(C15*C18+D15*D18+E15*E18)</f>
        <v>-1.3877787807814457E-17</v>
      </c>
      <c r="D21" s="47">
        <f>C18^2+D18^2+E18^2-1</f>
        <v>-0.010610971624142262</v>
      </c>
    </row>
    <row r="22" spans="1:10" ht="12.75">
      <c r="A22" t="s">
        <v>62</v>
      </c>
      <c r="B22" t="s">
        <v>29</v>
      </c>
      <c r="C22" s="25">
        <f>-0.5*C21/B21+SQRT(0.25*C21^2/B21^2-D21/B21)</f>
        <v>0.6134846543961551</v>
      </c>
      <c r="J22" s="4"/>
    </row>
    <row r="23" spans="1:10" ht="12.75">
      <c r="A23" t="s">
        <v>63</v>
      </c>
      <c r="B23" t="s">
        <v>30</v>
      </c>
      <c r="C23" s="25">
        <f>-0.5*C21/B21-SQRT(0.25*C21^2/B21^2-D21/B21)</f>
        <v>-0.6134846543961546</v>
      </c>
      <c r="J23" s="4"/>
    </row>
    <row r="24" spans="3:6" ht="12.75">
      <c r="C24" s="8" t="s">
        <v>13</v>
      </c>
      <c r="D24" s="8" t="s">
        <v>14</v>
      </c>
      <c r="E24" s="8" t="s">
        <v>38</v>
      </c>
      <c r="F24" s="8" t="s">
        <v>15</v>
      </c>
    </row>
    <row r="25" spans="1:6" ht="12.75">
      <c r="A25" t="s">
        <v>64</v>
      </c>
      <c r="B25" t="s">
        <v>31</v>
      </c>
      <c r="C25" s="24">
        <f>C18+C22*C15</f>
        <v>-0.08674477442438241</v>
      </c>
      <c r="D25" s="24">
        <f>D18+C22*D15</f>
        <v>-0.947304254090998</v>
      </c>
      <c r="E25" s="24">
        <f>E18+C22*E15</f>
        <v>-0.3083666556084831</v>
      </c>
      <c r="F25" s="24">
        <f>SQRT(C25^2+D25^2)</f>
        <v>0.9512675783967617</v>
      </c>
    </row>
    <row r="26" spans="1:8" ht="12.75">
      <c r="A26" t="s">
        <v>65</v>
      </c>
      <c r="B26" t="s">
        <v>32</v>
      </c>
      <c r="C26" s="24">
        <f>C18+C23*C15</f>
        <v>-0.2769806826057385</v>
      </c>
      <c r="D26" s="24">
        <f>D18+C23*D15</f>
        <v>-0.8898068799038227</v>
      </c>
      <c r="E26" s="24">
        <f>E18+C23*E15</f>
        <v>-0.3626643323227186</v>
      </c>
      <c r="F26" s="24">
        <f>SQRT(C26^2+D26^2)</f>
        <v>0.9319198367139294</v>
      </c>
      <c r="H26" s="5"/>
    </row>
    <row r="27" spans="2:4" ht="12.75">
      <c r="B27" s="8" t="s">
        <v>33</v>
      </c>
      <c r="C27" s="11" t="s">
        <v>34</v>
      </c>
      <c r="D27" s="5"/>
    </row>
    <row r="28" spans="1:10" ht="12.75">
      <c r="A28" s="19" t="s">
        <v>66</v>
      </c>
      <c r="B28" s="18">
        <f>IF(ATAN2(C25,D25)&gt;0,ATAN2(C25,D25)/Grad,360+ATAN2(C25,D25)/Grad)</f>
        <v>264.76800899153596</v>
      </c>
      <c r="C28" s="18">
        <f>ATAN(E25/F25)/Grad</f>
        <v>-17.960825113633888</v>
      </c>
      <c r="D28" s="70" t="s">
        <v>206</v>
      </c>
      <c r="E28" s="70"/>
      <c r="F28" s="70"/>
      <c r="G28" s="70"/>
      <c r="H28" s="70"/>
      <c r="I28" s="70"/>
      <c r="J28" s="70"/>
    </row>
    <row r="29" spans="1:10" ht="12.75">
      <c r="A29" s="19" t="s">
        <v>67</v>
      </c>
      <c r="B29" s="18">
        <f>IF(ATAN2(C26,D26)&gt;0,ATAN2(C26,D26)/Grad,360+ATAN2(C26,D26)/Grad)</f>
        <v>252.7095856272881</v>
      </c>
      <c r="C29" s="18">
        <f>ATAN(E26/F26)/Grad</f>
        <v>-21.263912227667657</v>
      </c>
      <c r="D29" s="70"/>
      <c r="E29" s="70"/>
      <c r="F29" s="70"/>
      <c r="G29" s="70"/>
      <c r="H29" s="70"/>
      <c r="I29" s="70"/>
      <c r="J29" s="70"/>
    </row>
    <row r="30" spans="1:3" ht="12.75">
      <c r="A30" s="5" t="s">
        <v>46</v>
      </c>
      <c r="B30" s="29">
        <f>IF(Nr=1,'Messung 1'!B27,IF(Nr=2,'Messung 2'!B27,'Messung 3'!B27))</f>
        <v>264.73245833333334</v>
      </c>
      <c r="C30" s="29">
        <f>IF(Nr=1,'Messung 1'!C27,IF(Nr=2,'Messung 2'!C27,'Messung 3'!C27))</f>
        <v>-17.992922222222223</v>
      </c>
    </row>
  </sheetData>
  <mergeCells count="3">
    <mergeCell ref="A9:H9"/>
    <mergeCell ref="A10:H10"/>
    <mergeCell ref="D28:J29"/>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8"/>
  <sheetViews>
    <sheetView workbookViewId="0" topLeftCell="A1">
      <selection activeCell="E4" sqref="E4"/>
    </sheetView>
  </sheetViews>
  <sheetFormatPr defaultColWidth="11.421875" defaultRowHeight="12.75"/>
  <cols>
    <col min="1" max="1" width="40.421875" style="0" customWidth="1"/>
    <col min="2" max="2" width="22.140625" style="0" customWidth="1"/>
    <col min="4" max="4" width="16.00390625" style="0" customWidth="1"/>
    <col min="5" max="5" width="18.00390625" style="0" customWidth="1"/>
    <col min="6" max="6" width="12.8515625" style="0" customWidth="1"/>
  </cols>
  <sheetData>
    <row r="1" spans="2:11" ht="12.75">
      <c r="B1" s="28" t="s">
        <v>36</v>
      </c>
      <c r="C1" s="28" t="s">
        <v>37</v>
      </c>
      <c r="D1" s="8" t="s">
        <v>69</v>
      </c>
      <c r="E1" s="8" t="s">
        <v>70</v>
      </c>
      <c r="F1" s="28" t="s">
        <v>33</v>
      </c>
      <c r="G1" s="28" t="s">
        <v>34</v>
      </c>
      <c r="H1" s="28"/>
      <c r="I1" s="8" t="s">
        <v>13</v>
      </c>
      <c r="J1" s="8" t="s">
        <v>14</v>
      </c>
      <c r="K1" s="8" t="s">
        <v>38</v>
      </c>
    </row>
    <row r="2" spans="1:11" ht="12.75">
      <c r="A2" t="s">
        <v>207</v>
      </c>
      <c r="B2" s="61">
        <f>Datum1</f>
        <v>42512</v>
      </c>
      <c r="C2" s="62">
        <f>Uhrzeit1</f>
        <v>0.745</v>
      </c>
      <c r="D2" s="63">
        <f>C2*24</f>
        <v>17.88</v>
      </c>
      <c r="E2" s="63">
        <f>D2-$D$2</f>
        <v>0</v>
      </c>
      <c r="F2" s="29">
        <f>'Messung 1'!B26</f>
        <v>251.54525684193112</v>
      </c>
      <c r="G2" s="29">
        <f>'Messung 1'!C26</f>
        <v>-16.850865820200585</v>
      </c>
      <c r="H2" s="29" t="s">
        <v>117</v>
      </c>
      <c r="I2" s="23">
        <f>COS(G2*Grad)*COS(F2*Grad)</f>
        <v>-0.3029634010520081</v>
      </c>
      <c r="J2" s="23">
        <f>COS(G2*Grad)*SIN(F2*Grad)</f>
        <v>-0.9078446199735063</v>
      </c>
      <c r="K2" s="23">
        <f>SIN(G2*Grad)</f>
        <v>-0.2898815682449644</v>
      </c>
    </row>
    <row r="3" spans="1:11" ht="12.75">
      <c r="A3" t="s">
        <v>208</v>
      </c>
      <c r="B3" s="61">
        <f>Datum2</f>
        <v>42513</v>
      </c>
      <c r="C3" s="62">
        <f>Uhrzeit2</f>
        <v>0.2006712962962963</v>
      </c>
      <c r="D3" s="63">
        <f>C3*24</f>
        <v>4.816111111111111</v>
      </c>
      <c r="E3" s="63">
        <f>D3-$D$2+24</f>
        <v>10.936111111111112</v>
      </c>
      <c r="F3" s="29">
        <f>'Messung 2'!B26</f>
        <v>255.46028518931678</v>
      </c>
      <c r="G3" s="29">
        <f>'Messung 2'!C26</f>
        <v>-17.520338710769785</v>
      </c>
      <c r="H3" s="29" t="s">
        <v>118</v>
      </c>
      <c r="I3" s="23">
        <f>COS(G3*Grad)*COS(F3*Grad)</f>
        <v>-0.2394047995438166</v>
      </c>
      <c r="J3" s="23">
        <f>COS(G3*Grad)*SIN(F3*Grad)</f>
        <v>-0.9230696908603732</v>
      </c>
      <c r="K3" s="23">
        <f>SIN(G3*Grad)</f>
        <v>-0.30104432858022795</v>
      </c>
    </row>
    <row r="4" spans="1:11" ht="12.75">
      <c r="A4" t="s">
        <v>209</v>
      </c>
      <c r="B4" s="61">
        <f>Datum3</f>
        <v>42513</v>
      </c>
      <c r="C4" s="62">
        <f>Uhrzeit3</f>
        <v>0.7781712962962963</v>
      </c>
      <c r="D4" s="63">
        <f>C4*24+24</f>
        <v>42.67611111111111</v>
      </c>
      <c r="E4" s="63">
        <f>D4-$D$2</f>
        <v>24.796111111111113</v>
      </c>
      <c r="F4" s="29">
        <f>'Messung 3'!B26</f>
        <v>264.76800899153596</v>
      </c>
      <c r="G4" s="29">
        <f>'Messung 3'!C26</f>
        <v>-17.960825113633888</v>
      </c>
      <c r="H4" s="29" t="s">
        <v>119</v>
      </c>
      <c r="I4" s="23">
        <f>COS(G4*Grad)*COS(F4*Grad)</f>
        <v>-0.08674477442438215</v>
      </c>
      <c r="J4" s="23">
        <f>COS(G4*Grad)*SIN(F4*Grad)</f>
        <v>-0.947304254090998</v>
      </c>
      <c r="K4" s="23">
        <f>SIN(G4*Grad)</f>
        <v>-0.3083666556084831</v>
      </c>
    </row>
    <row r="6" spans="1:6" ht="12.75">
      <c r="A6" t="s">
        <v>71</v>
      </c>
      <c r="B6" t="s">
        <v>120</v>
      </c>
      <c r="C6" s="23">
        <f>J2*K4-K2*J4</f>
        <v>0.005342966492359658</v>
      </c>
      <c r="D6" s="23">
        <f>K2*I4-I2*K4</f>
        <v>-0.06827809950698374</v>
      </c>
      <c r="E6" s="23">
        <f>I2*J4-J2*I4</f>
        <v>0.20824774187845366</v>
      </c>
      <c r="F6" s="23">
        <f>SQRT(C6^2+D6^2+E6^2)</f>
        <v>0.2192203643841035</v>
      </c>
    </row>
    <row r="7" spans="1:6" ht="12.75">
      <c r="A7" t="s">
        <v>72</v>
      </c>
      <c r="B7" t="s">
        <v>121</v>
      </c>
      <c r="C7" s="23">
        <f>C6/$F$6</f>
        <v>0.02437258284544251</v>
      </c>
      <c r="D7" s="23">
        <f>D6/$F$6</f>
        <v>-0.31145874471475354</v>
      </c>
      <c r="E7" s="23">
        <f>E6/$F$6</f>
        <v>0.9499470656547933</v>
      </c>
      <c r="F7" s="23"/>
    </row>
    <row r="8" spans="1:6" ht="12.75">
      <c r="A8" t="s">
        <v>74</v>
      </c>
      <c r="B8" t="s">
        <v>123</v>
      </c>
      <c r="C8" s="23"/>
      <c r="D8" s="23"/>
      <c r="E8" s="23"/>
      <c r="F8" s="23"/>
    </row>
    <row r="9" spans="1:6" ht="12.75">
      <c r="A9" t="s">
        <v>73</v>
      </c>
      <c r="B9" t="s">
        <v>122</v>
      </c>
      <c r="C9" s="23">
        <f>D7*K2-E7*J2</f>
        <v>0.9526904821758441</v>
      </c>
      <c r="D9" s="23">
        <f>E7*I2-C7*K2</f>
        <v>-0.2807340312927342</v>
      </c>
      <c r="E9" s="23">
        <f>C7*J2-D7*I2</f>
        <v>-0.11648711879726444</v>
      </c>
      <c r="F9" s="23"/>
    </row>
    <row r="10" spans="1:6" ht="12.75">
      <c r="A10" t="s">
        <v>75</v>
      </c>
      <c r="B10" t="s">
        <v>39</v>
      </c>
      <c r="C10" s="23">
        <f>ACOS(I2*I4+J2*J4+K2*K4)/Grad</f>
        <v>12.663245381920785</v>
      </c>
      <c r="D10" s="23"/>
      <c r="E10" s="23"/>
      <c r="F10" s="23"/>
    </row>
    <row r="11" spans="1:6" ht="12.75">
      <c r="A11" t="s">
        <v>76</v>
      </c>
      <c r="B11" t="s">
        <v>124</v>
      </c>
      <c r="C11" s="23">
        <f>C10/E4</f>
        <v>0.5106948152142453</v>
      </c>
      <c r="D11" s="23"/>
      <c r="E11" s="23"/>
      <c r="F11" s="23"/>
    </row>
    <row r="12" spans="2:12" ht="12.75">
      <c r="B12" t="s">
        <v>40</v>
      </c>
      <c r="C12" s="23">
        <f>omegaM*E3</f>
        <v>5.585015243051344</v>
      </c>
      <c r="D12" s="23"/>
      <c r="E12" s="23"/>
      <c r="F12" s="23"/>
      <c r="K12" s="21"/>
      <c r="L12" s="22"/>
    </row>
    <row r="13" spans="2:6" ht="12.75">
      <c r="B13" t="s">
        <v>125</v>
      </c>
      <c r="C13" s="23">
        <f>I2*COS(C12*Grad)</f>
        <v>-0.30152519959089863</v>
      </c>
      <c r="D13" s="23">
        <f>J2*COS(C12*Grad)</f>
        <v>-0.9035349790915632</v>
      </c>
      <c r="E13" s="23">
        <f>K2*COS(C12*Grad)</f>
        <v>-0.2885054677207726</v>
      </c>
      <c r="F13" s="23"/>
    </row>
    <row r="14" spans="2:6" ht="12.75">
      <c r="B14" t="s">
        <v>126</v>
      </c>
      <c r="C14" s="23">
        <f>C9*SIN(C12*Grad)</f>
        <v>0.09271832545979605</v>
      </c>
      <c r="D14" s="23">
        <f>D9*SIN(C12*Grad)</f>
        <v>-0.027321768998460436</v>
      </c>
      <c r="E14" s="23">
        <f>E9*SIN(C12*Grad)</f>
        <v>-0.011336830580957956</v>
      </c>
      <c r="F14" s="23"/>
    </row>
    <row r="15" spans="6:7" ht="12.75">
      <c r="F15" s="20" t="s">
        <v>41</v>
      </c>
      <c r="G15" s="20" t="s">
        <v>42</v>
      </c>
    </row>
    <row r="16" spans="1:8" ht="12.75">
      <c r="A16" s="5" t="s">
        <v>136</v>
      </c>
      <c r="B16" s="5" t="s">
        <v>127</v>
      </c>
      <c r="C16" s="23">
        <f>C13+C14</f>
        <v>-0.20880687413110258</v>
      </c>
      <c r="D16" s="23">
        <f>D13+D14</f>
        <v>-0.9308567480900236</v>
      </c>
      <c r="E16" s="23">
        <f>E13+E14</f>
        <v>-0.2998422983017306</v>
      </c>
      <c r="F16" s="64">
        <f>IF(ATAN2(C16,D16)&gt;0,ATAN2(C16,D16)/Grad,ATAN2(C16,D16)/Grad+360)</f>
        <v>257.35687629675084</v>
      </c>
      <c r="G16" s="64">
        <f>ATAN(E16/SQRT(C16^2+D16^2))/Grad</f>
        <v>-17.448131443668213</v>
      </c>
      <c r="H16" s="67" t="s">
        <v>212</v>
      </c>
    </row>
    <row r="17" spans="1:13" ht="12.75">
      <c r="A17" s="5" t="s">
        <v>128</v>
      </c>
      <c r="B17" s="5"/>
      <c r="C17" s="5"/>
      <c r="D17" s="6">
        <f>ACOS(SIN(G3*Grad)*SIN(G16*Grad)+COS(G3*Grad)*COS(G16*Grad)*COS((F3-F16)*Grad))/Grad</f>
        <v>1.8104008857204665</v>
      </c>
      <c r="E17" s="5" t="s">
        <v>44</v>
      </c>
      <c r="L17" s="21"/>
      <c r="M17" s="22"/>
    </row>
    <row r="18" spans="1:13" ht="12.75">
      <c r="A18" s="5"/>
      <c r="B18" s="5"/>
      <c r="C18" s="5"/>
      <c r="D18" s="6">
        <v>1.67</v>
      </c>
      <c r="E18" s="5" t="s">
        <v>43</v>
      </c>
      <c r="L18" s="21"/>
      <c r="M18" s="22"/>
    </row>
    <row r="19" spans="1:13" ht="12.75">
      <c r="A19" t="s">
        <v>154</v>
      </c>
      <c r="C19" s="8" t="s">
        <v>80</v>
      </c>
      <c r="D19" s="8" t="s">
        <v>81</v>
      </c>
      <c r="E19" s="8" t="s">
        <v>151</v>
      </c>
      <c r="F19" s="8"/>
      <c r="G19" s="20"/>
      <c r="H19" s="20"/>
      <c r="L19" s="21"/>
      <c r="M19" s="22"/>
    </row>
    <row r="20" spans="3:8" ht="12.75">
      <c r="C20" s="34">
        <f>F2+(F4-F2)/E4*E3</f>
        <v>257.377037723005</v>
      </c>
      <c r="D20" s="34">
        <f>G2+(G4-G2)/E4*E3</f>
        <v>-17.340403800870373</v>
      </c>
      <c r="E20" s="23">
        <f>ACOS(SIN(G3*Grad)*SIN(D20*Grad)+COS(G3*Grad)*COS(D20*Grad)*COS((F3-C20)*Grad))/Grad</f>
        <v>1.8375607300358414</v>
      </c>
      <c r="F20" s="24"/>
      <c r="G20" s="21"/>
      <c r="H20" s="22"/>
    </row>
    <row r="21" spans="3:8" s="14" customFormat="1" ht="5.25" customHeight="1">
      <c r="C21" s="43"/>
      <c r="D21" s="43"/>
      <c r="E21" s="44"/>
      <c r="F21" s="45"/>
      <c r="G21" s="32"/>
      <c r="H21" s="46"/>
    </row>
    <row r="22" spans="1:11" ht="12.75">
      <c r="A22" s="5" t="s">
        <v>155</v>
      </c>
      <c r="B22" s="82" t="s">
        <v>141</v>
      </c>
      <c r="C22" s="82"/>
      <c r="D22" s="84" t="s">
        <v>142</v>
      </c>
      <c r="E22" s="84"/>
      <c r="F22" s="84"/>
      <c r="G22" s="84"/>
      <c r="H22" s="84"/>
      <c r="I22" s="82" t="s">
        <v>143</v>
      </c>
      <c r="J22" s="82"/>
      <c r="K22" s="82"/>
    </row>
    <row r="23" spans="1:8" ht="12.75">
      <c r="A23" t="s">
        <v>135</v>
      </c>
      <c r="B23" s="8" t="s">
        <v>77</v>
      </c>
      <c r="C23" s="4" t="s">
        <v>78</v>
      </c>
      <c r="D23" t="s">
        <v>139</v>
      </c>
      <c r="E23" t="s">
        <v>140</v>
      </c>
      <c r="F23" s="8" t="s">
        <v>13</v>
      </c>
      <c r="G23" s="8" t="s">
        <v>14</v>
      </c>
      <c r="H23" s="8" t="s">
        <v>38</v>
      </c>
    </row>
    <row r="24" spans="1:11" ht="12.75">
      <c r="A24" t="s">
        <v>137</v>
      </c>
      <c r="B24" s="23">
        <f>geogrBreite</f>
        <v>-23.2</v>
      </c>
      <c r="C24" s="23">
        <f>geogrLaenge</f>
        <v>16.3</v>
      </c>
      <c r="D24" s="33">
        <f>'Messung 2'!D9*360</f>
        <v>329.78749999999997</v>
      </c>
      <c r="E24" s="23">
        <f>B24</f>
        <v>-23.2</v>
      </c>
      <c r="F24" s="24">
        <f>COS(D24*Grad)*COS(E24*Grad)</f>
        <v>0.7942846267147057</v>
      </c>
      <c r="G24" s="24">
        <f>SIN(D24*Grad)*COS(E24*Grad)</f>
        <v>-0.46251670632801517</v>
      </c>
      <c r="H24" s="24">
        <f>SIN(E24*Grad)</f>
        <v>-0.3939419095909511</v>
      </c>
      <c r="I24" s="24">
        <f>COS(F3*Grad)*COS(G3*Grad)</f>
        <v>-0.2394047995438166</v>
      </c>
      <c r="J24" s="24">
        <f>SIN(F3*Grad)*COS(G3*Grad)</f>
        <v>-0.9230696908603732</v>
      </c>
      <c r="K24" s="24">
        <f>SIN(G3*Grad)</f>
        <v>-0.30104432858022795</v>
      </c>
    </row>
    <row r="25" spans="1:11" ht="12.75">
      <c r="A25" t="s">
        <v>138</v>
      </c>
      <c r="B25" s="23">
        <f>geogrBreite</f>
        <v>-23.2</v>
      </c>
      <c r="C25" s="23">
        <f>Bezugssterne!M20-E3*omegaE</f>
        <v>-148.19860724233985</v>
      </c>
      <c r="D25" s="33">
        <f>D24+(C25-C24)*1</f>
        <v>165.2888927576601</v>
      </c>
      <c r="E25" s="23">
        <f>B25</f>
        <v>-23.2</v>
      </c>
      <c r="F25" s="24">
        <f>COS(D25*Grad)*COS(E25*Grad)</f>
        <v>-0.8890047423729307</v>
      </c>
      <c r="G25" s="24">
        <f>SIN(D25*Grad)*COS(E25*Grad)</f>
        <v>0.2334102395060548</v>
      </c>
      <c r="H25" s="24">
        <f>SIN(E25*Grad)</f>
        <v>-0.3939419095909511</v>
      </c>
      <c r="I25" s="24">
        <f>COS(F16*Grad)*COS(G16*Grad)</f>
        <v>-0.20880687413110263</v>
      </c>
      <c r="J25" s="24">
        <f>SIN(F16*Grad)*COS(G16*Grad)</f>
        <v>-0.9308567480900237</v>
      </c>
      <c r="K25" s="24">
        <f>SIN(G16*Grad)</f>
        <v>-0.29984229830173065</v>
      </c>
    </row>
    <row r="26" spans="1:11" ht="12.75">
      <c r="A26" t="s">
        <v>90</v>
      </c>
      <c r="I26" s="82" t="s">
        <v>79</v>
      </c>
      <c r="J26" s="82"/>
      <c r="K26" s="82"/>
    </row>
    <row r="27" spans="1:12" ht="12.75">
      <c r="A27" t="s">
        <v>146</v>
      </c>
      <c r="B27" s="23">
        <f>F25-F24</f>
        <v>-1.6832893690876363</v>
      </c>
      <c r="C27" s="23">
        <f>G25-G24</f>
        <v>0.69592694583407</v>
      </c>
      <c r="D27" s="23">
        <f>H25-H24</f>
        <v>0</v>
      </c>
      <c r="E27" s="48"/>
      <c r="I27" s="24">
        <f>COS(C20*Grad)*COS(D20*Grad)</f>
        <v>-0.20860214153452242</v>
      </c>
      <c r="J27" s="24">
        <f>SIN(C20*Grad)*COS(D20*Grad)</f>
        <v>-0.9314786577982022</v>
      </c>
      <c r="K27" s="24">
        <f>SIN(D20*Grad)</f>
        <v>-0.2980480776882659</v>
      </c>
      <c r="L27" s="48"/>
    </row>
    <row r="28" spans="1:4" ht="12.75">
      <c r="A28" t="s">
        <v>147</v>
      </c>
      <c r="B28" s="23">
        <f>SQRT(B27^2+C27^2+D27^2)</f>
        <v>1.8214767124565137</v>
      </c>
      <c r="C28" s="23"/>
      <c r="D28" s="23"/>
    </row>
    <row r="29" spans="1:9" ht="12.75">
      <c r="A29" t="s">
        <v>145</v>
      </c>
      <c r="B29" s="23">
        <f>ACOS(I24*I25+J24*J25+K24*K25)/Grad</f>
        <v>1.8104008857206701</v>
      </c>
      <c r="C29" s="23"/>
      <c r="D29" s="23"/>
      <c r="I29" s="23">
        <f>ACOS(I24*I27+J24*J27+K24*K27)/Grad</f>
        <v>1.837560730036045</v>
      </c>
    </row>
    <row r="30" spans="1:4" ht="12.75">
      <c r="A30" t="s">
        <v>144</v>
      </c>
      <c r="B30" s="23">
        <f>ACOS((B27*I24+C27*J24+D27*K24)/B28)/Grad</f>
        <v>97.55238769672346</v>
      </c>
      <c r="C30" s="23"/>
      <c r="D30" s="23"/>
    </row>
    <row r="31" spans="1:4" ht="12.75">
      <c r="A31" t="s">
        <v>148</v>
      </c>
      <c r="B31" s="23">
        <f>B28*SIN(B30*Grad)</f>
        <v>1.8056755876371462</v>
      </c>
      <c r="C31" s="23"/>
      <c r="D31" s="23"/>
    </row>
    <row r="32" spans="1:9" ht="12.75">
      <c r="A32" s="19" t="s">
        <v>150</v>
      </c>
      <c r="B32" s="21">
        <f>B31/(B29*Grad)</f>
        <v>57.146232725261676</v>
      </c>
      <c r="C32" s="23"/>
      <c r="D32" s="23"/>
      <c r="I32" s="21">
        <f>B31/(I29*Grad)</f>
        <v>56.301589738143726</v>
      </c>
    </row>
    <row r="33" spans="1:9" ht="12.75">
      <c r="A33" s="19" t="s">
        <v>149</v>
      </c>
      <c r="B33" s="36">
        <f>ROUND(B32*6370/1000,0)*1000</f>
        <v>364000</v>
      </c>
      <c r="C33" s="23"/>
      <c r="D33" s="23"/>
      <c r="I33" s="36">
        <f>ROUND(I32*6370/1000,0)*1000</f>
        <v>359000</v>
      </c>
    </row>
    <row r="34" spans="1:9" ht="12.75">
      <c r="A34" t="s">
        <v>152</v>
      </c>
      <c r="B34" s="36"/>
      <c r="C34" s="23"/>
      <c r="D34" s="23"/>
      <c r="I34" s="36"/>
    </row>
    <row r="35" spans="1:2" ht="12.75">
      <c r="A35" s="40" t="s">
        <v>150</v>
      </c>
      <c r="B35" s="41">
        <v>63.17010303107387</v>
      </c>
    </row>
    <row r="36" spans="1:2" ht="12.75">
      <c r="A36" s="40" t="s">
        <v>149</v>
      </c>
      <c r="B36" s="42">
        <v>402000</v>
      </c>
    </row>
    <row r="37" spans="1:2" ht="12.75">
      <c r="A37" s="37" t="s">
        <v>153</v>
      </c>
      <c r="B37" s="38">
        <f>B38/6370</f>
        <v>59.96342229199372</v>
      </c>
    </row>
    <row r="38" spans="1:2" ht="12.75">
      <c r="A38" s="37"/>
      <c r="B38" s="39">
        <v>381967</v>
      </c>
    </row>
  </sheetData>
  <mergeCells count="4">
    <mergeCell ref="I26:K26"/>
    <mergeCell ref="B22:C22"/>
    <mergeCell ref="D22:H22"/>
    <mergeCell ref="I22:K22"/>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1"/>
  <sheetViews>
    <sheetView workbookViewId="0" topLeftCell="A2">
      <selection activeCell="M20" sqref="M20"/>
    </sheetView>
  </sheetViews>
  <sheetFormatPr defaultColWidth="11.421875" defaultRowHeight="12.75"/>
  <cols>
    <col min="1" max="1" width="14.57421875" style="0" customWidth="1"/>
    <col min="5" max="5" width="14.28125" style="0" customWidth="1"/>
    <col min="12" max="12" width="13.00390625" style="0" customWidth="1"/>
  </cols>
  <sheetData>
    <row r="1" ht="12.75">
      <c r="A1" s="31">
        <v>0.2994907407407407</v>
      </c>
    </row>
    <row r="2" spans="2:14" ht="12.75">
      <c r="B2" t="s">
        <v>77</v>
      </c>
      <c r="C2" t="s">
        <v>78</v>
      </c>
      <c r="D2" t="s">
        <v>95</v>
      </c>
      <c r="E2" s="82" t="s">
        <v>96</v>
      </c>
      <c r="F2" s="82"/>
      <c r="G2" s="82"/>
      <c r="H2" s="82"/>
      <c r="I2" t="s">
        <v>97</v>
      </c>
      <c r="J2" t="s">
        <v>98</v>
      </c>
      <c r="K2" s="82" t="s">
        <v>99</v>
      </c>
      <c r="L2" s="82"/>
      <c r="M2" s="82"/>
      <c r="N2" s="82"/>
    </row>
    <row r="3" spans="1:14" ht="12.75">
      <c r="A3" t="s">
        <v>208</v>
      </c>
      <c r="B3" s="24">
        <f>geogrBreite</f>
        <v>-23.2</v>
      </c>
      <c r="C3" s="24">
        <f>geogrLaenge</f>
        <v>16.3</v>
      </c>
      <c r="D3" s="33">
        <f>Interpolation!D24</f>
        <v>329.78749999999997</v>
      </c>
      <c r="E3" s="8" t="s">
        <v>31</v>
      </c>
      <c r="F3" s="24">
        <f>COS(D3*Grad)*COS(B3*Grad)</f>
        <v>0.7942846267147057</v>
      </c>
      <c r="G3" s="24">
        <f>SIN(D3*Grad)*COS(B3*Grad)</f>
        <v>-0.46251670632801517</v>
      </c>
      <c r="H3" s="24">
        <f>SIN(B3*Grad)</f>
        <v>-0.3939419095909511</v>
      </c>
      <c r="I3" s="33">
        <f>Interpolation!F3</f>
        <v>255.46028518931678</v>
      </c>
      <c r="J3" s="33">
        <f>Interpolation!G3</f>
        <v>-17.520338710769785</v>
      </c>
      <c r="K3" s="8" t="s">
        <v>129</v>
      </c>
      <c r="L3" s="24">
        <f>COS(I3*Grad)*COS(J3*Grad)</f>
        <v>-0.2394047995438166</v>
      </c>
      <c r="M3" s="24">
        <f>SIN(I3*Grad)*COS(J3*Grad)</f>
        <v>-0.9230696908603732</v>
      </c>
      <c r="N3" s="24">
        <f>SIN(J3*Grad)</f>
        <v>-0.30104432858022795</v>
      </c>
    </row>
    <row r="4" spans="1:14" ht="12.75">
      <c r="A4" t="s">
        <v>100</v>
      </c>
      <c r="B4" s="24">
        <f>geogrBreite</f>
        <v>-23.2</v>
      </c>
      <c r="C4" s="24">
        <f>Interpolation!C25</f>
        <v>-148.19860724233985</v>
      </c>
      <c r="D4" s="33">
        <f>Interpolation!D25</f>
        <v>165.2888927576601</v>
      </c>
      <c r="E4" s="8" t="s">
        <v>32</v>
      </c>
      <c r="F4" s="24">
        <f>COS(D4*Grad)*COS(B4*Grad)</f>
        <v>-0.8890047423729307</v>
      </c>
      <c r="G4" s="24">
        <f>SIN(D4*Grad)*COS(B4*Grad)</f>
        <v>0.2334102395060548</v>
      </c>
      <c r="H4" s="24">
        <f>SIN(B4*Grad)</f>
        <v>-0.3939419095909511</v>
      </c>
      <c r="I4" s="33">
        <f>Interpolation!F16</f>
        <v>257.35687629675084</v>
      </c>
      <c r="J4" s="33">
        <f>Interpolation!G16</f>
        <v>-17.448131443668213</v>
      </c>
      <c r="K4" s="8" t="s">
        <v>130</v>
      </c>
      <c r="L4" s="24">
        <f>COS(I4*Grad)*COS(J4*Grad)</f>
        <v>-0.20880687413110263</v>
      </c>
      <c r="M4" s="24">
        <f>SIN(I4*Grad)*COS(J4*Grad)</f>
        <v>-0.9308567480900237</v>
      </c>
      <c r="N4" s="24">
        <f>SIN(J4*Grad)</f>
        <v>-0.29984229830173065</v>
      </c>
    </row>
    <row r="5" ht="12.75">
      <c r="I5" s="13"/>
    </row>
    <row r="6" spans="1:6" ht="12.75">
      <c r="A6" t="s">
        <v>101</v>
      </c>
      <c r="B6" s="4">
        <f>F4-F3</f>
        <v>-1.6832893690876363</v>
      </c>
      <c r="C6" s="4">
        <f>G4-G3</f>
        <v>0.69592694583407</v>
      </c>
      <c r="D6" s="4">
        <f>H4-H3</f>
        <v>0</v>
      </c>
      <c r="E6" s="7" t="s">
        <v>157</v>
      </c>
      <c r="F6" s="4">
        <f>SQRT(B6^2+C6^2+D6^2)</f>
        <v>1.8214767124565137</v>
      </c>
    </row>
    <row r="7" spans="1:4" ht="12.75">
      <c r="A7" t="s">
        <v>102</v>
      </c>
      <c r="B7" s="4">
        <f>L3-L4</f>
        <v>-0.030597925412713972</v>
      </c>
      <c r="C7" s="4">
        <f>M3-M4</f>
        <v>0.0077870572296505625</v>
      </c>
      <c r="D7" s="4">
        <f>N3-N4</f>
        <v>-0.0012020302784973014</v>
      </c>
    </row>
    <row r="8" spans="1:4" ht="12.75">
      <c r="A8" t="s">
        <v>103</v>
      </c>
      <c r="B8" s="4">
        <f>L3+L4</f>
        <v>-0.4482116736749192</v>
      </c>
      <c r="C8" s="4">
        <f>M3+M4</f>
        <v>-1.8539264389503969</v>
      </c>
      <c r="D8" s="4">
        <f>N3+N4</f>
        <v>-0.6008866268819586</v>
      </c>
    </row>
    <row r="9" spans="1:6" ht="12.75">
      <c r="A9" t="s">
        <v>104</v>
      </c>
      <c r="B9" s="4">
        <f>L3*L4+M3*M4+N3*N4</f>
        <v>0.9995008419116749</v>
      </c>
      <c r="C9" s="4"/>
      <c r="D9" s="4"/>
      <c r="E9" s="7" t="s">
        <v>131</v>
      </c>
      <c r="F9" s="4">
        <f>ACOS(B9)/Grad</f>
        <v>1.8104008857206701</v>
      </c>
    </row>
    <row r="10" spans="1:4" ht="12.75">
      <c r="A10" t="s">
        <v>107</v>
      </c>
      <c r="B10" s="4">
        <f>B6*B7+C6*C7+D6*D7</f>
        <v>0.05692438551822368</v>
      </c>
      <c r="C10" s="4"/>
      <c r="D10" s="4"/>
    </row>
    <row r="11" spans="1:4" ht="12.75">
      <c r="A11" t="s">
        <v>108</v>
      </c>
      <c r="B11" s="4">
        <f>B6*B8+C6*C8+D6*D8</f>
        <v>-0.5357274190618148</v>
      </c>
      <c r="C11" s="4"/>
      <c r="D11" s="4"/>
    </row>
    <row r="12" spans="1:4" ht="12.75">
      <c r="A12" t="s">
        <v>105</v>
      </c>
      <c r="B12" s="4">
        <f>B10/(1-B9)</f>
        <v>114.04079559088747</v>
      </c>
      <c r="C12" s="4"/>
      <c r="D12" s="4"/>
    </row>
    <row r="13" spans="1:4" ht="12.75">
      <c r="A13" t="s">
        <v>106</v>
      </c>
      <c r="B13" s="4">
        <f>B11/(1+B9)</f>
        <v>-0.26793057938881315</v>
      </c>
      <c r="C13" s="4"/>
      <c r="D13" s="4"/>
    </row>
    <row r="14" spans="1:4" ht="12.75">
      <c r="A14" t="s">
        <v>109</v>
      </c>
      <c r="B14" s="9">
        <f>0.5*(B12+B13)</f>
        <v>56.886432505749326</v>
      </c>
      <c r="C14" s="4"/>
      <c r="D14" s="4"/>
    </row>
    <row r="15" spans="1:4" ht="12.75">
      <c r="A15" t="s">
        <v>110</v>
      </c>
      <c r="B15" s="9">
        <f>0.5*(B12-B13)</f>
        <v>57.154363085138144</v>
      </c>
      <c r="C15" s="4"/>
      <c r="D15" s="4"/>
    </row>
    <row r="16" spans="1:6" ht="12.75">
      <c r="A16" t="s">
        <v>111</v>
      </c>
      <c r="B16" s="9">
        <f>$B$14*L3</f>
        <v>-13.618884970801771</v>
      </c>
      <c r="C16" s="9">
        <f>$B$14*M3</f>
        <v>-52.510141667231515</v>
      </c>
      <c r="D16" s="9">
        <f>$B$14*N3</f>
        <v>-17.12533787901776</v>
      </c>
      <c r="F16" s="20" t="s">
        <v>162</v>
      </c>
    </row>
    <row r="17" spans="1:14" ht="12.75">
      <c r="A17" t="s">
        <v>112</v>
      </c>
      <c r="B17" s="9">
        <f>F3+B16</f>
        <v>-12.824600344087065</v>
      </c>
      <c r="C17" s="9">
        <f>G3+C16</f>
        <v>-52.97265837355953</v>
      </c>
      <c r="D17" s="9">
        <f>H3+D16</f>
        <v>-17.51927978860871</v>
      </c>
      <c r="E17" s="65">
        <f>SQRT(B17^2+C17^2+D17^2)</f>
        <v>57.24943732002052</v>
      </c>
      <c r="K17" s="5"/>
      <c r="L17" s="5"/>
      <c r="M17" s="20" t="s">
        <v>133</v>
      </c>
      <c r="N17" s="20" t="s">
        <v>134</v>
      </c>
    </row>
    <row r="18" spans="1:14" ht="12.75">
      <c r="A18" t="s">
        <v>113</v>
      </c>
      <c r="B18" s="4">
        <f>$B$15*L4</f>
        <v>-11.934223898761779</v>
      </c>
      <c r="C18" s="4">
        <f>$B$15*M4</f>
        <v>-53.20252456058819</v>
      </c>
      <c r="D18" s="4">
        <f>$B$15*N4</f>
        <v>-17.137295585419412</v>
      </c>
      <c r="E18" s="66"/>
      <c r="F18" s="34">
        <f>SQRT((C19-C17)^2+(D19-D17)^2+(B19-B17)^2)/rMond</f>
        <v>0.04612888309618172</v>
      </c>
      <c r="G18" s="35"/>
      <c r="I18" s="85" t="s">
        <v>132</v>
      </c>
      <c r="J18" s="85"/>
      <c r="K18" s="5" t="s">
        <v>115</v>
      </c>
      <c r="L18" s="5"/>
      <c r="M18" s="50">
        <v>62</v>
      </c>
      <c r="N18" s="22">
        <f>ROUND(M18*6370/1000,0)*1000</f>
        <v>395000</v>
      </c>
    </row>
    <row r="19" spans="1:14" ht="12.75">
      <c r="A19" t="s">
        <v>114</v>
      </c>
      <c r="B19" s="4">
        <f>F4+B18</f>
        <v>-12.82322864113471</v>
      </c>
      <c r="C19" s="4">
        <f>G4+C18</f>
        <v>-52.96911432108213</v>
      </c>
      <c r="D19" s="4">
        <f>H4+D18</f>
        <v>-17.531237495010362</v>
      </c>
      <c r="E19" s="65">
        <f>SQRT(B19^2+C19^2+D19^2)</f>
        <v>57.24951137650996</v>
      </c>
      <c r="I19" s="85"/>
      <c r="J19" s="85"/>
      <c r="K19" s="5" t="s">
        <v>116</v>
      </c>
      <c r="L19" s="5"/>
      <c r="M19" s="50">
        <v>57.2</v>
      </c>
      <c r="N19" s="22">
        <f>ROUND(M19*6370/1000,0)*1000</f>
        <v>364000</v>
      </c>
    </row>
    <row r="20" spans="2:14" ht="12.75">
      <c r="B20" s="4"/>
      <c r="C20" s="4"/>
      <c r="D20" s="4"/>
      <c r="E20" s="65"/>
      <c r="I20" s="51"/>
      <c r="J20" s="51"/>
      <c r="K20" s="5"/>
      <c r="L20" s="5"/>
      <c r="M20" s="50"/>
      <c r="N20" s="22"/>
    </row>
    <row r="21" spans="1:14" ht="12.75">
      <c r="A21" s="86" t="s">
        <v>214</v>
      </c>
      <c r="B21" s="86"/>
      <c r="C21" s="86"/>
      <c r="D21" s="86"/>
      <c r="E21" s="21">
        <f>0.5*(E17+E19)</f>
        <v>57.24947434826524</v>
      </c>
      <c r="F21" s="19" t="s">
        <v>213</v>
      </c>
      <c r="G21" s="68" t="s">
        <v>215</v>
      </c>
      <c r="H21" s="36">
        <f>ROUND(E21*6370/1000,0)*1000</f>
        <v>365000</v>
      </c>
      <c r="I21" s="69" t="s">
        <v>216</v>
      </c>
      <c r="J21" s="51"/>
      <c r="K21" s="5"/>
      <c r="L21" s="5"/>
      <c r="M21" s="50"/>
      <c r="N21" s="22"/>
    </row>
    <row r="23" spans="1:12" ht="12.75">
      <c r="A23" s="71" t="s">
        <v>211</v>
      </c>
      <c r="B23" s="71"/>
      <c r="C23" s="71"/>
      <c r="D23" s="71"/>
      <c r="E23" s="71"/>
      <c r="F23" s="71"/>
      <c r="G23" s="71"/>
      <c r="H23" s="71"/>
      <c r="I23" s="71"/>
      <c r="J23" s="71"/>
      <c r="K23" s="71"/>
      <c r="L23" s="71"/>
    </row>
    <row r="24" spans="1:15" ht="12.75">
      <c r="A24" s="71" t="s">
        <v>220</v>
      </c>
      <c r="B24" s="71"/>
      <c r="C24" s="71"/>
      <c r="D24" s="71"/>
      <c r="E24" s="71"/>
      <c r="F24" s="71"/>
      <c r="G24" s="71"/>
      <c r="H24" s="71"/>
      <c r="I24" s="71"/>
      <c r="J24" s="71"/>
      <c r="K24" s="71"/>
      <c r="L24" s="71"/>
      <c r="M24" s="71"/>
      <c r="N24" s="71"/>
      <c r="O24" s="71"/>
    </row>
    <row r="27" ht="12.75">
      <c r="E27" s="24"/>
    </row>
    <row r="28" ht="12.75">
      <c r="E28" s="24"/>
    </row>
    <row r="29" ht="12.75">
      <c r="E29" s="24"/>
    </row>
    <row r="30" ht="12.75">
      <c r="E30" s="24"/>
    </row>
    <row r="31" ht="12.75">
      <c r="E31" s="24"/>
    </row>
  </sheetData>
  <mergeCells count="6">
    <mergeCell ref="A24:O24"/>
    <mergeCell ref="A23:L23"/>
    <mergeCell ref="I18:J19"/>
    <mergeCell ref="K2:N2"/>
    <mergeCell ref="E2:H2"/>
    <mergeCell ref="A21:D2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Duisburg-Essen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dc:creator>
  <cp:keywords/>
  <dc:description/>
  <cp:lastModifiedBy>Udo</cp:lastModifiedBy>
  <dcterms:created xsi:type="dcterms:W3CDTF">2015-12-28T11:51:28Z</dcterms:created>
  <dcterms:modified xsi:type="dcterms:W3CDTF">2016-07-12T16:32:42Z</dcterms:modified>
  <cp:category/>
  <cp:version/>
  <cp:contentType/>
  <cp:contentStatus/>
</cp:coreProperties>
</file>