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9875" windowHeight="8475" tabRatio="738" activeTab="6"/>
  </bookViews>
  <sheets>
    <sheet name="Einführung" sheetId="1" r:id="rId1"/>
    <sheet name="Bezugssterne" sheetId="2" r:id="rId2"/>
    <sheet name="26.12. 21-17-11" sheetId="3" r:id="rId3"/>
    <sheet name="27.12. 07-11-16" sheetId="4" r:id="rId4"/>
    <sheet name="27.12. 22-11-54" sheetId="5" r:id="rId5"/>
    <sheet name="Positionsberechnung" sheetId="6" r:id="rId6"/>
    <sheet name="Interpolation" sheetId="7" r:id="rId7"/>
    <sheet name="korr. Parallaxenrechnung" sheetId="8" r:id="rId8"/>
  </sheets>
  <externalReferences>
    <externalReference r:id="rId11"/>
  </externalReferences>
  <definedNames>
    <definedName name="day">#REF!</definedName>
    <definedName name="deg">#REF!</definedName>
    <definedName name="dRM1">#REF!</definedName>
    <definedName name="dRM2">#REF!</definedName>
    <definedName name="dSM1">#REF!</definedName>
    <definedName name="dSM2">#REF!</definedName>
    <definedName name="exEarth">#REF!</definedName>
    <definedName name="geogrBreite">'Bezugssterne'!$L$16</definedName>
    <definedName name="geogrLaenge">'Bezugssterne'!$M$16</definedName>
    <definedName name="Grad">'Bezugssterne'!$L$9</definedName>
    <definedName name="lambda1">'[1]data'!$J$36</definedName>
    <definedName name="lambda2">'[1]data'!$K$36</definedName>
    <definedName name="Massstab">'Bezugssterne'!$L$3</definedName>
    <definedName name="month">#REF!</definedName>
    <definedName name="nx">'Bezugssterne'!$L$4</definedName>
    <definedName name="ny">'Bezugssterne'!$L$5</definedName>
    <definedName name="omegaE">'Bezugssterne'!$L$18</definedName>
    <definedName name="omegaM">'Interpolation'!$C$11</definedName>
    <definedName name="phi1">'[1]data'!$J$35</definedName>
    <definedName name="phi2">'[1]data'!$K$35</definedName>
    <definedName name="rho">'korr. Parallaxenrechnung'!#REF!</definedName>
    <definedName name="scale1">#REF!</definedName>
    <definedName name="scale2">#REF!</definedName>
    <definedName name="ST2UT">#REF!</definedName>
    <definedName name="UT1">'[1]data'!$J$34</definedName>
    <definedName name="UT2">'[1]data'!$K$34</definedName>
    <definedName name="xM">'Bezugssterne'!$L$7</definedName>
    <definedName name="xM1">'[1]data'!$J$41</definedName>
    <definedName name="xM2">'[1]data'!$K$41</definedName>
    <definedName name="xR">#REF!</definedName>
    <definedName name="xR1">'[1]data'!$J$39</definedName>
    <definedName name="xR2">'[1]data'!$K$39</definedName>
    <definedName name="xS">#REF!</definedName>
    <definedName name="xS1">'[1]data'!$J$37</definedName>
    <definedName name="xS2">'[1]data'!$K$37</definedName>
    <definedName name="year">#REF!</definedName>
    <definedName name="yM">'Bezugssterne'!$L$8</definedName>
    <definedName name="yM1">'[1]data'!$J$42</definedName>
    <definedName name="yM2">'[1]data'!$K$42</definedName>
    <definedName name="yR">#REF!</definedName>
    <definedName name="yR1">'[1]data'!$J$40</definedName>
    <definedName name="yR2">'[1]data'!$K$40</definedName>
    <definedName name="yS">#REF!</definedName>
    <definedName name="yS1">'[1]data'!$J$38</definedName>
    <definedName name="yS2">'[1]data'!$K$38</definedName>
    <definedName name="zR">#REF!</definedName>
  </definedNames>
  <calcPr fullCalcOnLoad="1"/>
</workbook>
</file>

<file path=xl/sharedStrings.xml><?xml version="1.0" encoding="utf-8"?>
<sst xmlns="http://schemas.openxmlformats.org/spreadsheetml/2006/main" count="356" uniqueCount="189">
  <si>
    <t>Castor</t>
  </si>
  <si>
    <t>Beteigeuze</t>
  </si>
  <si>
    <t>Procyon</t>
  </si>
  <si>
    <t>Pollux</t>
  </si>
  <si>
    <t>Rigel</t>
  </si>
  <si>
    <t>Sirius</t>
  </si>
  <si>
    <t>h</t>
  </si>
  <si>
    <t>min</t>
  </si>
  <si>
    <t>s</t>
  </si>
  <si>
    <t>Grad</t>
  </si>
  <si>
    <t/>
  </si>
  <si>
    <t>"</t>
  </si>
  <si>
    <t>Rektaszension</t>
  </si>
  <si>
    <t>Deklination</t>
  </si>
  <si>
    <t>Brennweite</t>
  </si>
  <si>
    <t>Pixelgröße in mm</t>
  </si>
  <si>
    <t>Mond</t>
  </si>
  <si>
    <t>xM</t>
  </si>
  <si>
    <t>yM</t>
  </si>
  <si>
    <t>x</t>
  </si>
  <si>
    <t>y</t>
  </si>
  <si>
    <t>r</t>
  </si>
  <si>
    <t>A</t>
  </si>
  <si>
    <t>A in Grad</t>
  </si>
  <si>
    <t>h in Grad</t>
  </si>
  <si>
    <t>Aldebaran</t>
  </si>
  <si>
    <t>Capella</t>
  </si>
  <si>
    <t>n1</t>
  </si>
  <si>
    <t>n2</t>
  </si>
  <si>
    <t>d1</t>
  </si>
  <si>
    <t>d2</t>
  </si>
  <si>
    <t>w</t>
  </si>
  <si>
    <t>n1*n2</t>
  </si>
  <si>
    <t>Nenner</t>
  </si>
  <si>
    <t>q</t>
  </si>
  <si>
    <t>B</t>
  </si>
  <si>
    <t>C</t>
  </si>
  <si>
    <t>t1</t>
  </si>
  <si>
    <t>t2</t>
  </si>
  <si>
    <t>r1</t>
  </si>
  <si>
    <t>r2</t>
  </si>
  <si>
    <t>Jupiter</t>
  </si>
  <si>
    <t>Regulus</t>
  </si>
  <si>
    <t>Rekt.</t>
  </si>
  <si>
    <t>Dekl.</t>
  </si>
  <si>
    <t>(Capella, Rigel)</t>
  </si>
  <si>
    <t>gemessene Mondposition</t>
  </si>
  <si>
    <t>Datum</t>
  </si>
  <si>
    <t>Uhrzeit</t>
  </si>
  <si>
    <t>z</t>
  </si>
  <si>
    <t>phi(t3)</t>
  </si>
  <si>
    <t>phi(t2)</t>
  </si>
  <si>
    <t>Rekt</t>
  </si>
  <si>
    <t>Dekl</t>
  </si>
  <si>
    <t>(mit theor. Positionen)</t>
  </si>
  <si>
    <t>(mit gemessenen Positionen)</t>
  </si>
  <si>
    <t>(Castor, Regulus)</t>
  </si>
  <si>
    <t>Winkelabstände in Grad</t>
  </si>
  <si>
    <t>Referenzposition des Mondes</t>
  </si>
  <si>
    <t>theoretische Mondposition</t>
  </si>
  <si>
    <t>(muss so angepasst werden, dass die Winkelabstände zwischen den Bezugssternen möglichst gut mit den wahren Werten (s. "Bezugssterne") übereinstimmen.)</t>
  </si>
  <si>
    <t>Auf dem Foto gemessene Pixelpositionen</t>
  </si>
  <si>
    <t>abgeleitete Winkel</t>
  </si>
  <si>
    <t>Konstanten</t>
  </si>
  <si>
    <t>Objekt (alphab. Reihenfolge!)</t>
  </si>
  <si>
    <t>Bezugssterne</t>
  </si>
  <si>
    <t>Winkelabstände</t>
  </si>
  <si>
    <t>Berechnung der Mondposition als Schnittpunkt der Schnittgerade zweier Ebenen mit der Einheitskugel</t>
  </si>
  <si>
    <t>(Schnittgerade berechnet mit Hilfe von Wikipedia)</t>
  </si>
  <si>
    <t>Normalenvektor Ebene 1</t>
  </si>
  <si>
    <t>Normalenvektor Ebene 2</t>
  </si>
  <si>
    <t>O-Abstand Ebene 1</t>
  </si>
  <si>
    <t>O-Abstand Ebene 2</t>
  </si>
  <si>
    <t>Richtungsvektor der Schnittgerade</t>
  </si>
  <si>
    <t>Achsenabschnitt der Schnittgerade r=q+t*w</t>
  </si>
  <si>
    <t>Berechnung der Schnittpunkte</t>
  </si>
  <si>
    <t>Lösung 1</t>
  </si>
  <si>
    <t>Lösung 2</t>
  </si>
  <si>
    <t>Lösungsvektor 1</t>
  </si>
  <si>
    <t>Lösungsvektor 2</t>
  </si>
  <si>
    <t>Lösungsposition 1 des Mondes</t>
  </si>
  <si>
    <t>Lösungsposition 2 des Mondes</t>
  </si>
  <si>
    <t>(Die richtige Lösung findet man am leichtesten durch Vergleich mit der Referenzposition.)</t>
  </si>
  <si>
    <t>Parameter der quadr. Gleichung für t zur</t>
  </si>
  <si>
    <t>t in h</t>
  </si>
  <si>
    <t>delta t in h</t>
  </si>
  <si>
    <t>Normale auf der Mondbahnebene</t>
  </si>
  <si>
    <t>Einheitsvektor der Ebenennormalen</t>
  </si>
  <si>
    <t>2. Vektor der Orthonormalbasis der Bahnebene</t>
  </si>
  <si>
    <t>1. Vektor der Orthonormalbasis der Bahnebene</t>
  </si>
  <si>
    <t>vom Mond insgesamt überstrichener Winkel</t>
  </si>
  <si>
    <t>mittlere Winkelgeschwindigkeit in Grad/h</t>
  </si>
  <si>
    <t>Vaihingen an der Enz</t>
  </si>
  <si>
    <t>geogr. Breite</t>
  </si>
  <si>
    <t>geogr. Länge</t>
  </si>
  <si>
    <t>lineare Rechnung</t>
  </si>
  <si>
    <t>Rekt. In Grad</t>
  </si>
  <si>
    <t>Dekl. In Grad</t>
  </si>
  <si>
    <t>maximaler Winkel</t>
  </si>
  <si>
    <t>Anzahl der x-Pixel nx</t>
  </si>
  <si>
    <t>Anzahl der y-Pixel ny</t>
  </si>
  <si>
    <t>Beobachtungsort</t>
  </si>
  <si>
    <t>Breite des Chips in mm</t>
  </si>
  <si>
    <t>Höhe des Chips in mm</t>
  </si>
  <si>
    <t>Chipdiagonale in mm</t>
  </si>
  <si>
    <t>ungef. Brennweite in mm</t>
  </si>
  <si>
    <t>am Raumort der ersten Messung</t>
  </si>
  <si>
    <t>Bestimmung der Entfernung zum Mond durch Messung seiner täglichen Parallaxe</t>
  </si>
  <si>
    <t>Kurzanleitung</t>
  </si>
  <si>
    <r>
      <t xml:space="preserve">1. Im Tabellenblatt "Bezugssterne" müssen in den gelb unterlegten Feldern Namen und Koordinaten geeigneter Referenzsterne, die technischen Daten der Kamera und die Position des Beobachters eingetragen werden. </t>
    </r>
    <r>
      <rPr>
        <b/>
        <sz val="10"/>
        <rFont val="Arial"/>
        <family val="2"/>
      </rPr>
      <t>Die Bezugssterne müssen in alphabetischer Reihenfolge aufgeführt werden!</t>
    </r>
  </si>
  <si>
    <t>gemessene Winkelabstände in Grad</t>
  </si>
  <si>
    <t>Winkeldistanzen</t>
  </si>
  <si>
    <t>(Pollux, Sirius)</t>
  </si>
  <si>
    <t>Messung</t>
  </si>
  <si>
    <t>Sternzeit</t>
  </si>
  <si>
    <t>Vektor r</t>
  </si>
  <si>
    <t>alphaM</t>
  </si>
  <si>
    <t>deltaM</t>
  </si>
  <si>
    <t>Vektor e</t>
  </si>
  <si>
    <t>virt. Beobachter</t>
  </si>
  <si>
    <t>r2-r1</t>
  </si>
  <si>
    <t>e1-e2</t>
  </si>
  <si>
    <t>e1+e2</t>
  </si>
  <si>
    <t>e1*e2</t>
  </si>
  <si>
    <t>lambda+mu</t>
  </si>
  <si>
    <t>lambda-mu</t>
  </si>
  <si>
    <t>(r2-r1)*(e1-e2)</t>
  </si>
  <si>
    <t>(r2-r1)*(e1+e2)</t>
  </si>
  <si>
    <t>lambda</t>
  </si>
  <si>
    <t>mu</t>
  </si>
  <si>
    <t>Für eine direkte Berechnung der Mondentfernung reichen die Genauigkeiten von Messung und (insbesondere) Interpolation nicht aus!</t>
  </si>
  <si>
    <t>theor. Messung</t>
  </si>
  <si>
    <t>theor. Virt. Beob.</t>
  </si>
  <si>
    <t>lambda*e1</t>
  </si>
  <si>
    <t>r1+lambda*e1</t>
  </si>
  <si>
    <t>mu*e2</t>
  </si>
  <si>
    <t>r2+mu*e2</t>
  </si>
  <si>
    <t>mit theoretischen Werten:</t>
  </si>
  <si>
    <t>mit gemessenen Werten:</t>
  </si>
  <si>
    <t>Grad/h</t>
  </si>
  <si>
    <t>Etwas scheint noch faul zu sein am theoretischen Verständnis! Sonst müssten die theor. Werte zu einem besseren Ergebnis führen.</t>
  </si>
  <si>
    <t>rM1</t>
  </si>
  <si>
    <t>rM2</t>
  </si>
  <si>
    <t>rM3</t>
  </si>
  <si>
    <t>rM1 x rM3</t>
  </si>
  <si>
    <t>a = e(rM1 x rM3)</t>
  </si>
  <si>
    <t>rKS2 = a x rM1</t>
  </si>
  <si>
    <t>rKS1 = rM1</t>
  </si>
  <si>
    <t>omegaM</t>
  </si>
  <si>
    <t>rKS1*cos(phi(t2))</t>
  </si>
  <si>
    <t>rKS2*sin(phi(t2))</t>
  </si>
  <si>
    <t>r2virt = rM2interpoliert</t>
  </si>
  <si>
    <t>Parallaxeneffekt (Winkel(r2,r2virt) )in Grad:</t>
  </si>
  <si>
    <t>e1</t>
  </si>
  <si>
    <t>e2</t>
  </si>
  <si>
    <t>parall. Winkel</t>
  </si>
  <si>
    <t>Mondentfernung dM</t>
  </si>
  <si>
    <t>dM/RE</t>
  </si>
  <si>
    <t>dm in km</t>
  </si>
  <si>
    <t>Beobachtungspositionen im Raum</t>
  </si>
  <si>
    <t>"Messung" des virtuellen Beobachters</t>
  </si>
  <si>
    <t>Beobachter zur Zeit t2</t>
  </si>
  <si>
    <t>virtueller Beobachter zur Zeit t2</t>
  </si>
  <si>
    <t>Rekt. = Sternzeit</t>
  </si>
  <si>
    <t>Dekl. = geogr. Breite</t>
  </si>
  <si>
    <t>geogr. Position</t>
  </si>
  <si>
    <t>äquatoriale Koordinaten ri</t>
  </si>
  <si>
    <t>Richtungen zum Mond ei</t>
  </si>
  <si>
    <t>Projektionswinkel w (=arccos((r2-r1)*e1))</t>
  </si>
  <si>
    <t>parall. Winkel (=arccos(e1*e2))</t>
  </si>
  <si>
    <t>Verbindungsvektor r2-r1</t>
  </si>
  <si>
    <t>Abstand der Beobachtungsorte (|r2-r1|)</t>
  </si>
  <si>
    <t>proj. Abstand der Beobachtungsorte</t>
  </si>
  <si>
    <t>Mondabstand in km</t>
  </si>
  <si>
    <t>Mondabstand als Vielfaches des Erdradius</t>
  </si>
  <si>
    <t>Parallaxeneffekt</t>
  </si>
  <si>
    <t>mit berechneten Beobachtungsdaten ergibt sich:</t>
  </si>
  <si>
    <t>korrekte Mondentfenung um 7:11 MEZ</t>
  </si>
  <si>
    <t>lineare (Rekt.-/Dekl.)-Interpolation</t>
  </si>
  <si>
    <t>Auswertung: Mondentfernung</t>
  </si>
  <si>
    <t>omegaErde in Grad/h</t>
  </si>
  <si>
    <t>Basislänge</t>
  </si>
  <si>
    <r>
      <t>In diese Tabelle können die Mondpositionen eingesetzt werden, die an zwei aufeinander folgenden Abenden kurz nach Mondaufgang  im Abstand eines Mondtages (</t>
    </r>
    <r>
      <rPr>
        <b/>
        <sz val="10"/>
        <rFont val="Arial"/>
        <family val="2"/>
      </rPr>
      <t>24h51m</t>
    </r>
    <r>
      <rPr>
        <sz val="10"/>
        <rFont val="Arial"/>
        <family val="0"/>
      </rPr>
      <t>) und am dazwischen liegenden Morgen kurz vor Monduntergang (und Sonnenaufgang) fotografiert und ausgemessen wurden. Natürlich sind auch zwei Morgen- und eine Abendmessung möglich. Der Mond sollte möglichst lange über dem Horizont sein.</t>
    </r>
  </si>
  <si>
    <r>
      <t>2. In die folgenden mit Datum und Uhrzeit bezeichneten Tabellenblätter ("Messblätter") müssen für jede Messung die verwendeten Bezugssterne (</t>
    </r>
    <r>
      <rPr>
        <b/>
        <sz val="10"/>
        <rFont val="Arial"/>
        <family val="2"/>
      </rPr>
      <t>in alphabetischer Reihenfolge</t>
    </r>
    <r>
      <rPr>
        <sz val="10"/>
        <rFont val="Arial"/>
        <family val="0"/>
      </rPr>
      <t>), ihre Pixelkoordinaten und die des Mondes und die Stern-Stern- und Stern-Mond-Paare, deren Positionen verwendet werden sollen, eingetragen werden.</t>
    </r>
  </si>
  <si>
    <t>3. In den rot gekennzeichneten Feldern B2 der "Messblätter" kann die Brennweite des Objektivs so verändert werden, dass die berechneten Stern-Stern-Winkelabstände möglichst gut mit den wahren Werten auf Blatt "Bezugssterne" übereinstimmen.</t>
  </si>
  <si>
    <r>
      <t>4. Die Namen der zu verwendenden Bezugssterne und die</t>
    </r>
    <r>
      <rPr>
        <b/>
        <sz val="10"/>
        <rFont val="Arial"/>
        <family val="2"/>
      </rPr>
      <t xml:space="preserve"> Zahlenwerte (!) </t>
    </r>
    <r>
      <rPr>
        <sz val="10"/>
        <rFont val="Arial"/>
        <family val="0"/>
      </rPr>
      <t xml:space="preserve">ihrer gemessenen Winkelabstände zum Mond werden nacheinander für jede Messung in Tabellenblatt "Positionsberechnung" eingetragen. Das Blatt berechnet daraus, als Lösungen einer quadratischen Gleichung, zwei mögliche Mondpositionen. Die </t>
    </r>
    <r>
      <rPr>
        <b/>
        <sz val="10"/>
        <rFont val="Arial"/>
        <family val="2"/>
      </rPr>
      <t xml:space="preserve">Zahlenwerte (!) </t>
    </r>
    <r>
      <rPr>
        <sz val="10"/>
        <rFont val="Arial"/>
        <family val="0"/>
      </rPr>
      <t>der richtigen der beiden Lösungen werden in Tabellenblatt "Interpolation" übertragen.</t>
    </r>
  </si>
  <si>
    <t>5. Aus den drei gemessenen Mondpositionen berechnet das Blatt "Interpolation" auf zwei leicht unterschiedliche Weisen die parallaktische Verschiebung des Mondes bei der mittleren Messung und daraus die Parallaxe des Mondes und die sich daraus ergebende Entfernung zwischen Erde und Mond.</t>
  </si>
  <si>
    <t xml:space="preserve">6. Auf dem Tabellenblatt "korrekte Parallaxenmessung" wird aus der in einer Zwischenzeit gemessenen Mondposition und dem entsprechenden durch Interpolation gewonnenen Ergebnis des "virtuellen Beobachters" am Raumpunkt der ersten Messung die Mondentfernung nach dem in "IYA-Parallaxelang.pdf" beschriebenen Verfahren berechnet. </t>
  </si>
  <si>
    <t>In dieser Beispiel-Tabelle wird die Mondentfernung anhand von Positionsdaten bestimmt, die in Fotos gemessen wurden, die mit einer Canon 60D und einem Zoom-Objektiv 10-20mm am 26./27. Dezember 2015 aufgenommen wurden.</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</si>
</sst>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mmm\ yyyy"/>
    <numFmt numFmtId="167" formatCode="0.0000"/>
    <numFmt numFmtId="168" formatCode="0.000E+00"/>
  </numFmts>
  <fonts count="8">
    <font>
      <sz val="10"/>
      <name val="Arial"/>
      <family val="0"/>
    </font>
    <font>
      <sz val="8"/>
      <name val="Arial"/>
      <family val="0"/>
    </font>
    <font>
      <b/>
      <sz val="10"/>
      <name val="Arial"/>
      <family val="2"/>
    </font>
    <font>
      <sz val="10"/>
      <color indexed="10"/>
      <name val="Arial"/>
      <family val="0"/>
    </font>
    <font>
      <b/>
      <sz val="10"/>
      <color indexed="10"/>
      <name val="Arial"/>
      <family val="2"/>
    </font>
    <font>
      <b/>
      <sz val="12"/>
      <name val="Arial"/>
      <family val="2"/>
    </font>
    <font>
      <b/>
      <sz val="10"/>
      <color indexed="22"/>
      <name val="Arial"/>
      <family val="2"/>
    </font>
    <font>
      <sz val="10"/>
      <color indexed="22"/>
      <name val="Arial"/>
      <family val="0"/>
    </font>
  </fonts>
  <fills count="4">
    <fill>
      <patternFill/>
    </fill>
    <fill>
      <patternFill patternType="gray125"/>
    </fill>
    <fill>
      <patternFill patternType="solid">
        <fgColor indexed="10"/>
        <bgColor indexed="64"/>
      </patternFill>
    </fill>
    <fill>
      <patternFill patternType="solid">
        <fgColor indexed="4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8">
    <xf numFmtId="0" fontId="0" fillId="0" borderId="0" xfId="0" applyAlignment="1">
      <alignment/>
    </xf>
    <xf numFmtId="0" fontId="0" fillId="0" borderId="0" xfId="0" applyAlignment="1" quotePrefix="1">
      <alignment/>
    </xf>
    <xf numFmtId="2" fontId="2" fillId="0" borderId="0" xfId="0" applyNumberFormat="1" applyFont="1" applyAlignment="1">
      <alignment horizontal="center"/>
    </xf>
    <xf numFmtId="164" fontId="0" fillId="0" borderId="0" xfId="0" applyNumberFormat="1" applyAlignment="1">
      <alignment/>
    </xf>
    <xf numFmtId="2" fontId="0" fillId="0" borderId="0" xfId="0" applyNumberFormat="1" applyAlignment="1">
      <alignment/>
    </xf>
    <xf numFmtId="0" fontId="2" fillId="0" borderId="0" xfId="0" applyFont="1" applyAlignment="1">
      <alignment/>
    </xf>
    <xf numFmtId="2" fontId="2" fillId="0" borderId="0" xfId="0" applyNumberFormat="1" applyFont="1" applyAlignment="1">
      <alignment/>
    </xf>
    <xf numFmtId="0" fontId="0" fillId="0" borderId="0" xfId="0" applyAlignment="1">
      <alignment horizontal="right"/>
    </xf>
    <xf numFmtId="0" fontId="0" fillId="0" borderId="0" xfId="0" applyAlignment="1">
      <alignment horizontal="center"/>
    </xf>
    <xf numFmtId="2" fontId="0" fillId="0" borderId="0" xfId="0" applyNumberFormat="1" applyFont="1" applyAlignment="1">
      <alignment/>
    </xf>
    <xf numFmtId="0" fontId="2" fillId="0" borderId="0" xfId="0" applyFont="1" applyAlignment="1">
      <alignment/>
    </xf>
    <xf numFmtId="0" fontId="0" fillId="0" borderId="0" xfId="0" applyFont="1" applyAlignment="1">
      <alignment horizontal="center"/>
    </xf>
    <xf numFmtId="2" fontId="0" fillId="2" borderId="0" xfId="0" applyNumberFormat="1" applyFont="1" applyFill="1" applyAlignment="1">
      <alignment/>
    </xf>
    <xf numFmtId="0" fontId="3" fillId="0" borderId="0" xfId="0" applyFont="1" applyAlignment="1">
      <alignment/>
    </xf>
    <xf numFmtId="0" fontId="0" fillId="2" borderId="0" xfId="0" applyFill="1" applyAlignment="1">
      <alignment/>
    </xf>
    <xf numFmtId="2" fontId="0" fillId="2" borderId="0" xfId="0" applyNumberFormat="1" applyFill="1" applyAlignment="1">
      <alignment/>
    </xf>
    <xf numFmtId="0" fontId="0" fillId="3" borderId="0" xfId="0" applyFill="1" applyAlignment="1">
      <alignment/>
    </xf>
    <xf numFmtId="0" fontId="0" fillId="0" borderId="0" xfId="0" applyFill="1" applyAlignment="1">
      <alignment/>
    </xf>
    <xf numFmtId="2" fontId="3" fillId="0" borderId="0" xfId="0" applyNumberFormat="1" applyFont="1" applyAlignment="1">
      <alignment horizontal="center"/>
    </xf>
    <xf numFmtId="2" fontId="0" fillId="0" borderId="0" xfId="0" applyNumberFormat="1" applyFont="1" applyAlignment="1">
      <alignment horizontal="center"/>
    </xf>
    <xf numFmtId="0" fontId="4" fillId="0" borderId="0" xfId="0" applyFont="1" applyAlignment="1">
      <alignment/>
    </xf>
    <xf numFmtId="2" fontId="0" fillId="3" borderId="0" xfId="0" applyNumberFormat="1" applyFont="1" applyFill="1" applyAlignment="1">
      <alignment horizontal="center"/>
    </xf>
    <xf numFmtId="0" fontId="2" fillId="0" borderId="0" xfId="0" applyFont="1" applyAlignment="1">
      <alignment horizontal="center"/>
    </xf>
    <xf numFmtId="164" fontId="4" fillId="0" borderId="0" xfId="0" applyNumberFormat="1" applyFont="1" applyAlignment="1">
      <alignment horizontal="center"/>
    </xf>
    <xf numFmtId="0" fontId="4" fillId="0" borderId="0" xfId="0" applyFont="1" applyAlignment="1">
      <alignment horizontal="center"/>
    </xf>
    <xf numFmtId="2" fontId="0" fillId="0" borderId="0" xfId="0" applyNumberFormat="1" applyAlignment="1">
      <alignment horizontal="center"/>
    </xf>
    <xf numFmtId="165" fontId="0" fillId="0" borderId="0" xfId="0" applyNumberFormat="1" applyAlignment="1">
      <alignment horizontal="center"/>
    </xf>
    <xf numFmtId="165" fontId="0" fillId="0" borderId="0" xfId="0" applyNumberFormat="1" applyAlignment="1">
      <alignment/>
    </xf>
    <xf numFmtId="165" fontId="0" fillId="3" borderId="0" xfId="0" applyNumberFormat="1" applyFill="1" applyAlignment="1">
      <alignment/>
    </xf>
    <xf numFmtId="0" fontId="0" fillId="0" borderId="0" xfId="0" applyAlignment="1">
      <alignment horizontal="left" wrapText="1"/>
    </xf>
    <xf numFmtId="0" fontId="0" fillId="0" borderId="0" xfId="0" applyFill="1" applyAlignment="1">
      <alignment horizontal="center"/>
    </xf>
    <xf numFmtId="2" fontId="0" fillId="0" borderId="0" xfId="0" applyNumberFormat="1" applyFont="1" applyFill="1" applyAlignment="1">
      <alignment horizontal="center"/>
    </xf>
    <xf numFmtId="0" fontId="2" fillId="0" borderId="0" xfId="0" applyFont="1" applyAlignment="1">
      <alignment horizontal="left"/>
    </xf>
    <xf numFmtId="21" fontId="0" fillId="0" borderId="0" xfId="0" applyNumberFormat="1" applyAlignment="1">
      <alignment/>
    </xf>
    <xf numFmtId="164" fontId="4" fillId="2" borderId="0" xfId="0" applyNumberFormat="1" applyFont="1" applyFill="1" applyAlignment="1">
      <alignment horizontal="center"/>
    </xf>
    <xf numFmtId="165" fontId="0" fillId="0" borderId="0" xfId="0" applyNumberFormat="1" applyFill="1" applyAlignment="1">
      <alignment horizontal="center"/>
    </xf>
    <xf numFmtId="164" fontId="2" fillId="0" borderId="0" xfId="0" applyNumberFormat="1" applyFont="1" applyAlignment="1">
      <alignment/>
    </xf>
    <xf numFmtId="2" fontId="2" fillId="0" borderId="0" xfId="0" applyNumberFormat="1" applyFont="1" applyAlignment="1">
      <alignment horizontal="center"/>
    </xf>
    <xf numFmtId="2" fontId="0" fillId="0" borderId="0" xfId="0" applyNumberFormat="1" applyAlignment="1">
      <alignment horizontal="left"/>
    </xf>
    <xf numFmtId="1" fontId="4" fillId="0" borderId="0" xfId="0" applyNumberFormat="1" applyFont="1" applyAlignment="1">
      <alignment horizontal="center"/>
    </xf>
    <xf numFmtId="0" fontId="6" fillId="0" borderId="0" xfId="0" applyFont="1" applyAlignment="1">
      <alignment/>
    </xf>
    <xf numFmtId="2" fontId="6" fillId="0" borderId="0" xfId="0" applyNumberFormat="1" applyFont="1" applyAlignment="1">
      <alignment horizontal="center"/>
    </xf>
    <xf numFmtId="0" fontId="6" fillId="0" borderId="0" xfId="0" applyFont="1" applyAlignment="1">
      <alignment horizontal="center"/>
    </xf>
    <xf numFmtId="0" fontId="7" fillId="0" borderId="0" xfId="0" applyFont="1" applyAlignment="1">
      <alignment/>
    </xf>
    <xf numFmtId="164" fontId="6" fillId="0" borderId="0" xfId="0" applyNumberFormat="1" applyFont="1" applyAlignment="1">
      <alignment horizontal="center"/>
    </xf>
    <xf numFmtId="1" fontId="6" fillId="0" borderId="0" xfId="0" applyNumberFormat="1" applyFont="1" applyAlignment="1">
      <alignment horizontal="center"/>
    </xf>
    <xf numFmtId="164" fontId="2" fillId="2" borderId="0" xfId="0" applyNumberFormat="1" applyFont="1" applyFill="1" applyAlignment="1">
      <alignment horizontal="center"/>
    </xf>
    <xf numFmtId="2" fontId="0" fillId="2" borderId="0" xfId="0" applyNumberFormat="1" applyFill="1" applyAlignment="1">
      <alignment horizontal="center"/>
    </xf>
    <xf numFmtId="165" fontId="0" fillId="2" borderId="0" xfId="0" applyNumberFormat="1" applyFill="1" applyAlignment="1">
      <alignment horizontal="center"/>
    </xf>
    <xf numFmtId="0" fontId="4" fillId="2" borderId="0" xfId="0" applyFont="1" applyFill="1" applyAlignment="1">
      <alignment horizontal="center"/>
    </xf>
    <xf numFmtId="165" fontId="0" fillId="3" borderId="0" xfId="0" applyNumberFormat="1" applyFill="1" applyAlignment="1">
      <alignment horizontal="center"/>
    </xf>
    <xf numFmtId="14" fontId="0" fillId="3" borderId="0" xfId="0" applyNumberFormat="1" applyFill="1" applyAlignment="1">
      <alignment horizontal="center"/>
    </xf>
    <xf numFmtId="21" fontId="0" fillId="3" borderId="0" xfId="0" applyNumberFormat="1" applyFill="1" applyAlignment="1">
      <alignment horizontal="center"/>
    </xf>
    <xf numFmtId="168" fontId="0" fillId="0" borderId="0" xfId="0" applyNumberFormat="1" applyAlignment="1">
      <alignment/>
    </xf>
    <xf numFmtId="0" fontId="0" fillId="0" borderId="0" xfId="0" applyAlignment="1">
      <alignment horizontal="left" vertical="top" wrapText="1"/>
    </xf>
    <xf numFmtId="0" fontId="2" fillId="0" borderId="0" xfId="0" applyFont="1" applyAlignment="1">
      <alignment horizontal="center" vertical="center" wrapText="1"/>
    </xf>
    <xf numFmtId="0" fontId="0" fillId="0" borderId="0" xfId="0" applyAlignment="1">
      <alignment horizontal="left" wrapText="1"/>
    </xf>
    <xf numFmtId="0" fontId="2" fillId="0" borderId="0" xfId="0" applyFont="1" applyAlignment="1">
      <alignment horizontal="left"/>
    </xf>
    <xf numFmtId="0" fontId="5" fillId="0" borderId="0" xfId="0" applyFont="1" applyAlignment="1">
      <alignment horizontal="center"/>
    </xf>
    <xf numFmtId="0" fontId="2" fillId="0" borderId="0" xfId="0" applyFont="1" applyAlignment="1">
      <alignment horizontal="center"/>
    </xf>
    <xf numFmtId="0" fontId="0" fillId="0" borderId="0" xfId="0" applyFont="1" applyAlignment="1">
      <alignment horizontal="center"/>
    </xf>
    <xf numFmtId="0" fontId="0" fillId="0" borderId="0" xfId="0" applyFill="1" applyAlignment="1">
      <alignment horizontal="center"/>
    </xf>
    <xf numFmtId="0" fontId="0" fillId="0" borderId="0" xfId="0" applyAlignment="1">
      <alignment horizontal="center"/>
    </xf>
    <xf numFmtId="0" fontId="0" fillId="3" borderId="0" xfId="0" applyFill="1" applyAlignment="1">
      <alignment horizontal="center"/>
    </xf>
    <xf numFmtId="0" fontId="0" fillId="0" borderId="0" xfId="0" applyAlignment="1">
      <alignment horizontal="left"/>
    </xf>
    <xf numFmtId="164" fontId="2" fillId="0" borderId="0" xfId="0" applyNumberFormat="1" applyFont="1" applyAlignment="1">
      <alignment horizontal="center"/>
    </xf>
    <xf numFmtId="0" fontId="2" fillId="0" borderId="0" xfId="0" applyFont="1" applyAlignment="1">
      <alignment horizontal="center" vertical="center"/>
    </xf>
    <xf numFmtId="2" fontId="0" fillId="0" borderId="0" xfId="0" applyNumberFormat="1" applyFill="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valuationMo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data"/>
      <sheetName val="calculation"/>
    </sheetNames>
    <sheetDataSet>
      <sheetData sheetId="1">
        <row r="34">
          <cell r="J34">
            <v>20</v>
          </cell>
          <cell r="K34">
            <v>20</v>
          </cell>
        </row>
        <row r="35">
          <cell r="J35">
            <v>51.434</v>
          </cell>
          <cell r="K35">
            <v>-22.479</v>
          </cell>
        </row>
        <row r="36">
          <cell r="J36">
            <v>7</v>
          </cell>
          <cell r="K36">
            <v>14.95</v>
          </cell>
        </row>
        <row r="37">
          <cell r="J37">
            <v>250</v>
          </cell>
          <cell r="K37">
            <v>750</v>
          </cell>
        </row>
        <row r="38">
          <cell r="J38">
            <v>650</v>
          </cell>
          <cell r="K38">
            <v>50</v>
          </cell>
        </row>
        <row r="39">
          <cell r="J39">
            <v>1906</v>
          </cell>
          <cell r="K39">
            <v>2638</v>
          </cell>
        </row>
        <row r="40">
          <cell r="J40">
            <v>908</v>
          </cell>
          <cell r="K40">
            <v>1070</v>
          </cell>
        </row>
        <row r="41">
          <cell r="J41">
            <v>1278</v>
          </cell>
          <cell r="K41">
            <v>1836</v>
          </cell>
        </row>
        <row r="42">
          <cell r="J42">
            <v>1338</v>
          </cell>
          <cell r="K42">
            <v>1228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M32"/>
  <sheetViews>
    <sheetView workbookViewId="0" topLeftCell="A1">
      <selection activeCell="O24" sqref="O24"/>
    </sheetView>
  </sheetViews>
  <sheetFormatPr defaultColWidth="11.421875" defaultRowHeight="12.75"/>
  <sheetData>
    <row r="3" spans="1:13" ht="15.75">
      <c r="A3" s="58" t="s">
        <v>107</v>
      </c>
      <c r="B3" s="58"/>
      <c r="C3" s="58"/>
      <c r="D3" s="58"/>
      <c r="E3" s="58"/>
      <c r="F3" s="58"/>
      <c r="G3" s="58"/>
      <c r="H3" s="58"/>
      <c r="I3" s="58"/>
      <c r="J3" s="58"/>
      <c r="K3" s="58"/>
      <c r="L3" s="58"/>
      <c r="M3" s="58"/>
    </row>
    <row r="5" spans="1:13" ht="12.75">
      <c r="A5" s="56" t="s">
        <v>182</v>
      </c>
      <c r="B5" s="56"/>
      <c r="C5" s="56"/>
      <c r="D5" s="56"/>
      <c r="E5" s="56"/>
      <c r="F5" s="56"/>
      <c r="G5" s="56"/>
      <c r="H5" s="56"/>
      <c r="I5" s="56"/>
      <c r="J5" s="56"/>
      <c r="K5" s="56"/>
      <c r="L5" s="56"/>
      <c r="M5" s="56"/>
    </row>
    <row r="6" spans="1:13" ht="12.75">
      <c r="A6" s="56"/>
      <c r="B6" s="56"/>
      <c r="C6" s="56"/>
      <c r="D6" s="56"/>
      <c r="E6" s="56"/>
      <c r="F6" s="56"/>
      <c r="G6" s="56"/>
      <c r="H6" s="56"/>
      <c r="I6" s="56"/>
      <c r="J6" s="56"/>
      <c r="K6" s="56"/>
      <c r="L6" s="56"/>
      <c r="M6" s="56"/>
    </row>
    <row r="7" spans="1:13" ht="12.75">
      <c r="A7" s="56"/>
      <c r="B7" s="56"/>
      <c r="C7" s="56"/>
      <c r="D7" s="56"/>
      <c r="E7" s="56"/>
      <c r="F7" s="56"/>
      <c r="G7" s="56"/>
      <c r="H7" s="56"/>
      <c r="I7" s="56"/>
      <c r="J7" s="56"/>
      <c r="K7" s="56"/>
      <c r="L7" s="56"/>
      <c r="M7" s="56"/>
    </row>
    <row r="9" spans="1:2" ht="12.75">
      <c r="A9" s="57" t="s">
        <v>108</v>
      </c>
      <c r="B9" s="57"/>
    </row>
    <row r="10" spans="1:2" ht="12.75">
      <c r="A10" s="32"/>
      <c r="B10" s="32"/>
    </row>
    <row r="11" spans="1:13" ht="12.75">
      <c r="A11" s="56" t="s">
        <v>109</v>
      </c>
      <c r="B11" s="56"/>
      <c r="C11" s="56"/>
      <c r="D11" s="56"/>
      <c r="E11" s="56"/>
      <c r="F11" s="56"/>
      <c r="G11" s="56"/>
      <c r="H11" s="56"/>
      <c r="I11" s="56"/>
      <c r="J11" s="56"/>
      <c r="K11" s="56"/>
      <c r="L11" s="56"/>
      <c r="M11" s="56"/>
    </row>
    <row r="12" spans="1:13" ht="12.75">
      <c r="A12" s="56"/>
      <c r="B12" s="56"/>
      <c r="C12" s="56"/>
      <c r="D12" s="56"/>
      <c r="E12" s="56"/>
      <c r="F12" s="56"/>
      <c r="G12" s="56"/>
      <c r="H12" s="56"/>
      <c r="I12" s="56"/>
      <c r="J12" s="56"/>
      <c r="K12" s="56"/>
      <c r="L12" s="56"/>
      <c r="M12" s="56"/>
    </row>
    <row r="13" spans="1:13" ht="12.75">
      <c r="A13" s="29"/>
      <c r="B13" s="29"/>
      <c r="C13" s="29"/>
      <c r="D13" s="29"/>
      <c r="E13" s="29"/>
      <c r="F13" s="29"/>
      <c r="G13" s="29"/>
      <c r="H13" s="29"/>
      <c r="I13" s="29"/>
      <c r="J13" s="29"/>
      <c r="K13" s="29"/>
      <c r="L13" s="29"/>
      <c r="M13" s="29"/>
    </row>
    <row r="14" spans="1:13" ht="12.75">
      <c r="A14" s="56" t="s">
        <v>183</v>
      </c>
      <c r="B14" s="56"/>
      <c r="C14" s="56"/>
      <c r="D14" s="56"/>
      <c r="E14" s="56"/>
      <c r="F14" s="56"/>
      <c r="G14" s="56"/>
      <c r="H14" s="56"/>
      <c r="I14" s="56"/>
      <c r="J14" s="56"/>
      <c r="K14" s="56"/>
      <c r="L14" s="56"/>
      <c r="M14" s="56"/>
    </row>
    <row r="15" spans="1:13" ht="12.75">
      <c r="A15" s="56"/>
      <c r="B15" s="56"/>
      <c r="C15" s="56"/>
      <c r="D15" s="56"/>
      <c r="E15" s="56"/>
      <c r="F15" s="56"/>
      <c r="G15" s="56"/>
      <c r="H15" s="56"/>
      <c r="I15" s="56"/>
      <c r="J15" s="56"/>
      <c r="K15" s="56"/>
      <c r="L15" s="56"/>
      <c r="M15" s="56"/>
    </row>
    <row r="16" spans="1:13" ht="12.75">
      <c r="A16" s="29"/>
      <c r="B16" s="29"/>
      <c r="C16" s="29"/>
      <c r="D16" s="29"/>
      <c r="E16" s="29"/>
      <c r="F16" s="29"/>
      <c r="G16" s="29"/>
      <c r="H16" s="29"/>
      <c r="I16" s="29"/>
      <c r="J16" s="29"/>
      <c r="K16" s="29"/>
      <c r="L16" s="29"/>
      <c r="M16" s="29"/>
    </row>
    <row r="17" spans="1:13" ht="12.75">
      <c r="A17" s="56" t="s">
        <v>184</v>
      </c>
      <c r="B17" s="56"/>
      <c r="C17" s="56"/>
      <c r="D17" s="56"/>
      <c r="E17" s="56"/>
      <c r="F17" s="56"/>
      <c r="G17" s="56"/>
      <c r="H17" s="56"/>
      <c r="I17" s="56"/>
      <c r="J17" s="56"/>
      <c r="K17" s="56"/>
      <c r="L17" s="56"/>
      <c r="M17" s="56"/>
    </row>
    <row r="18" spans="1:13" ht="12.75">
      <c r="A18" s="56"/>
      <c r="B18" s="56"/>
      <c r="C18" s="56"/>
      <c r="D18" s="56"/>
      <c r="E18" s="56"/>
      <c r="F18" s="56"/>
      <c r="G18" s="56"/>
      <c r="H18" s="56"/>
      <c r="I18" s="56"/>
      <c r="J18" s="56"/>
      <c r="K18" s="56"/>
      <c r="L18" s="56"/>
      <c r="M18" s="56"/>
    </row>
    <row r="19" spans="1:13" ht="12.75">
      <c r="A19" s="29"/>
      <c r="B19" s="29"/>
      <c r="C19" s="29"/>
      <c r="D19" s="29"/>
      <c r="E19" s="29"/>
      <c r="F19" s="29"/>
      <c r="G19" s="29"/>
      <c r="H19" s="29"/>
      <c r="I19" s="29"/>
      <c r="J19" s="29"/>
      <c r="K19" s="29"/>
      <c r="L19" s="29"/>
      <c r="M19" s="29"/>
    </row>
    <row r="20" spans="1:13" ht="12.75" customHeight="1">
      <c r="A20" s="56" t="s">
        <v>185</v>
      </c>
      <c r="B20" s="56"/>
      <c r="C20" s="56"/>
      <c r="D20" s="56"/>
      <c r="E20" s="56"/>
      <c r="F20" s="56"/>
      <c r="G20" s="56"/>
      <c r="H20" s="56"/>
      <c r="I20" s="56"/>
      <c r="J20" s="56"/>
      <c r="K20" s="56"/>
      <c r="L20" s="56"/>
      <c r="M20" s="56"/>
    </row>
    <row r="21" spans="1:13" ht="12.75">
      <c r="A21" s="56"/>
      <c r="B21" s="56"/>
      <c r="C21" s="56"/>
      <c r="D21" s="56"/>
      <c r="E21" s="56"/>
      <c r="F21" s="56"/>
      <c r="G21" s="56"/>
      <c r="H21" s="56"/>
      <c r="I21" s="56"/>
      <c r="J21" s="56"/>
      <c r="K21" s="56"/>
      <c r="L21" s="56"/>
      <c r="M21" s="56"/>
    </row>
    <row r="22" spans="1:13" ht="12.75">
      <c r="A22" s="56"/>
      <c r="B22" s="56"/>
      <c r="C22" s="56"/>
      <c r="D22" s="56"/>
      <c r="E22" s="56"/>
      <c r="F22" s="56"/>
      <c r="G22" s="56"/>
      <c r="H22" s="56"/>
      <c r="I22" s="56"/>
      <c r="J22" s="56"/>
      <c r="K22" s="56"/>
      <c r="L22" s="56"/>
      <c r="M22" s="56"/>
    </row>
    <row r="23" spans="1:13" ht="12.75">
      <c r="A23" s="29"/>
      <c r="B23" s="29"/>
      <c r="C23" s="29"/>
      <c r="D23" s="29"/>
      <c r="E23" s="29"/>
      <c r="F23" s="29"/>
      <c r="G23" s="29"/>
      <c r="H23" s="29"/>
      <c r="I23" s="29"/>
      <c r="J23" s="29"/>
      <c r="K23" s="29"/>
      <c r="L23" s="29"/>
      <c r="M23" s="29"/>
    </row>
    <row r="24" spans="1:13" ht="12.75">
      <c r="A24" s="56" t="s">
        <v>186</v>
      </c>
      <c r="B24" s="56"/>
      <c r="C24" s="56"/>
      <c r="D24" s="56"/>
      <c r="E24" s="56"/>
      <c r="F24" s="56"/>
      <c r="G24" s="56"/>
      <c r="H24" s="56"/>
      <c r="I24" s="56"/>
      <c r="J24" s="56"/>
      <c r="K24" s="56"/>
      <c r="L24" s="56"/>
      <c r="M24" s="56"/>
    </row>
    <row r="25" spans="1:13" ht="12.75">
      <c r="A25" s="56"/>
      <c r="B25" s="56"/>
      <c r="C25" s="56"/>
      <c r="D25" s="56"/>
      <c r="E25" s="56"/>
      <c r="F25" s="56"/>
      <c r="G25" s="56"/>
      <c r="H25" s="56"/>
      <c r="I25" s="56"/>
      <c r="J25" s="56"/>
      <c r="K25" s="56"/>
      <c r="L25" s="56"/>
      <c r="M25" s="56"/>
    </row>
    <row r="27" spans="1:13" ht="12.75">
      <c r="A27" s="54" t="s">
        <v>187</v>
      </c>
      <c r="B27" s="54"/>
      <c r="C27" s="54"/>
      <c r="D27" s="54"/>
      <c r="E27" s="54"/>
      <c r="F27" s="54"/>
      <c r="G27" s="54"/>
      <c r="H27" s="54"/>
      <c r="I27" s="54"/>
      <c r="J27" s="54"/>
      <c r="K27" s="54"/>
      <c r="L27" s="54"/>
      <c r="M27" s="54"/>
    </row>
    <row r="28" spans="1:13" ht="12.75">
      <c r="A28" s="54"/>
      <c r="B28" s="54"/>
      <c r="C28" s="54"/>
      <c r="D28" s="54"/>
      <c r="E28" s="54"/>
      <c r="F28" s="54"/>
      <c r="G28" s="54"/>
      <c r="H28" s="54"/>
      <c r="I28" s="54"/>
      <c r="J28" s="54"/>
      <c r="K28" s="54"/>
      <c r="L28" s="54"/>
      <c r="M28" s="54"/>
    </row>
    <row r="31" spans="1:13" ht="12.75">
      <c r="A31" s="55" t="s">
        <v>188</v>
      </c>
      <c r="B31" s="55"/>
      <c r="C31" s="55"/>
      <c r="D31" s="55"/>
      <c r="E31" s="55"/>
      <c r="F31" s="55"/>
      <c r="G31" s="55"/>
      <c r="H31" s="55"/>
      <c r="I31" s="55"/>
      <c r="J31" s="55"/>
      <c r="K31" s="55"/>
      <c r="L31" s="55"/>
      <c r="M31" s="55"/>
    </row>
    <row r="32" spans="1:13" ht="12.75">
      <c r="A32" s="55"/>
      <c r="B32" s="55"/>
      <c r="C32" s="55"/>
      <c r="D32" s="55"/>
      <c r="E32" s="55"/>
      <c r="F32" s="55"/>
      <c r="G32" s="55"/>
      <c r="H32" s="55"/>
      <c r="I32" s="55"/>
      <c r="J32" s="55"/>
      <c r="K32" s="55"/>
      <c r="L32" s="55"/>
      <c r="M32" s="55"/>
    </row>
  </sheetData>
  <mergeCells count="10">
    <mergeCell ref="A14:M15"/>
    <mergeCell ref="A9:B9"/>
    <mergeCell ref="A5:M7"/>
    <mergeCell ref="A3:M3"/>
    <mergeCell ref="A11:M12"/>
    <mergeCell ref="A27:M28"/>
    <mergeCell ref="A31:M32"/>
    <mergeCell ref="A17:M18"/>
    <mergeCell ref="A20:M22"/>
    <mergeCell ref="A24:M25"/>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42"/>
  <sheetViews>
    <sheetView workbookViewId="0" topLeftCell="A1">
      <selection activeCell="K27" sqref="K27"/>
    </sheetView>
  </sheetViews>
  <sheetFormatPr defaultColWidth="11.421875" defaultRowHeight="12.75"/>
  <cols>
    <col min="1" max="1" width="18.57421875" style="0" customWidth="1"/>
    <col min="11" max="11" width="22.00390625" style="0" customWidth="1"/>
  </cols>
  <sheetData>
    <row r="1" spans="2:9" ht="12.75">
      <c r="B1" s="59" t="s">
        <v>12</v>
      </c>
      <c r="C1" s="59"/>
      <c r="D1" s="59"/>
      <c r="E1" s="59"/>
      <c r="F1" s="59" t="s">
        <v>13</v>
      </c>
      <c r="G1" s="59"/>
      <c r="H1" s="59"/>
      <c r="I1" s="59"/>
    </row>
    <row r="2" spans="2:13" ht="12.75">
      <c r="B2" t="s">
        <v>6</v>
      </c>
      <c r="C2" t="s">
        <v>7</v>
      </c>
      <c r="D2" t="s">
        <v>8</v>
      </c>
      <c r="E2" t="s">
        <v>9</v>
      </c>
      <c r="F2" t="s">
        <v>9</v>
      </c>
      <c r="G2" s="1" t="s">
        <v>10</v>
      </c>
      <c r="H2" t="s">
        <v>11</v>
      </c>
      <c r="I2" t="s">
        <v>9</v>
      </c>
      <c r="K2" s="59" t="s">
        <v>63</v>
      </c>
      <c r="L2" s="59"/>
      <c r="M2" s="59"/>
    </row>
    <row r="3" spans="1:12" ht="12.75">
      <c r="A3" s="16" t="s">
        <v>25</v>
      </c>
      <c r="B3" s="16">
        <v>4</v>
      </c>
      <c r="C3" s="16">
        <v>35</v>
      </c>
      <c r="D3" s="16">
        <v>55.3</v>
      </c>
      <c r="E3" s="2">
        <f>((D3/60+C3)/60+B3)*15</f>
        <v>68.98041666666666</v>
      </c>
      <c r="F3" s="16">
        <v>16</v>
      </c>
      <c r="G3" s="16">
        <v>30</v>
      </c>
      <c r="H3" s="16">
        <v>30.46</v>
      </c>
      <c r="I3" s="2">
        <f>IF(F3&gt;0,(G3+H3/60)/60+F3,-(G3+H3/60)/60+F3)</f>
        <v>16.50846111111111</v>
      </c>
      <c r="K3" s="17" t="s">
        <v>15</v>
      </c>
      <c r="L3" s="16">
        <v>0.0043</v>
      </c>
    </row>
    <row r="4" spans="1:12" ht="12.75">
      <c r="A4" s="16" t="s">
        <v>1</v>
      </c>
      <c r="B4" s="16">
        <v>5</v>
      </c>
      <c r="C4" s="16">
        <v>55</v>
      </c>
      <c r="D4" s="16">
        <v>10.3</v>
      </c>
      <c r="E4" s="2">
        <f aca="true" t="shared" si="0" ref="E4:E12">((D4/60+C4)/60+B4)*15</f>
        <v>88.79291666666667</v>
      </c>
      <c r="F4" s="16">
        <v>7</v>
      </c>
      <c r="G4" s="16">
        <v>24</v>
      </c>
      <c r="H4" s="16">
        <v>25.5</v>
      </c>
      <c r="I4" s="2">
        <f aca="true" t="shared" si="1" ref="I4:I12">IF(F4&gt;0,(G4+H4/60)/60+F4,-(G4+H4/60)/60+F4)</f>
        <v>7.4070833333333335</v>
      </c>
      <c r="K4" s="17" t="s">
        <v>99</v>
      </c>
      <c r="L4" s="16">
        <v>5184</v>
      </c>
    </row>
    <row r="5" spans="1:12" ht="12.75">
      <c r="A5" s="16" t="s">
        <v>26</v>
      </c>
      <c r="B5" s="16">
        <v>5</v>
      </c>
      <c r="C5" s="16">
        <v>16</v>
      </c>
      <c r="D5" s="16">
        <v>41.47</v>
      </c>
      <c r="E5" s="2">
        <f t="shared" si="0"/>
        <v>79.17279166666667</v>
      </c>
      <c r="F5" s="16">
        <v>45</v>
      </c>
      <c r="G5" s="16">
        <v>59</v>
      </c>
      <c r="H5" s="16">
        <v>46</v>
      </c>
      <c r="I5" s="2">
        <f t="shared" si="1"/>
        <v>45.99611111111111</v>
      </c>
      <c r="K5" s="17" t="s">
        <v>100</v>
      </c>
      <c r="L5" s="16">
        <v>3456</v>
      </c>
    </row>
    <row r="6" spans="1:12" ht="12.75">
      <c r="A6" s="16" t="s">
        <v>0</v>
      </c>
      <c r="B6" s="16">
        <v>7</v>
      </c>
      <c r="C6" s="16">
        <v>34</v>
      </c>
      <c r="D6" s="16">
        <v>35.7</v>
      </c>
      <c r="E6" s="2">
        <f t="shared" si="0"/>
        <v>113.64875</v>
      </c>
      <c r="F6" s="16">
        <v>31</v>
      </c>
      <c r="G6" s="16">
        <v>53</v>
      </c>
      <c r="H6" s="16">
        <v>16.7</v>
      </c>
      <c r="I6" s="2">
        <f t="shared" si="1"/>
        <v>31.88797222222222</v>
      </c>
      <c r="K6" s="17" t="s">
        <v>105</v>
      </c>
      <c r="L6" s="16">
        <v>11</v>
      </c>
    </row>
    <row r="7" spans="1:12" ht="12.75">
      <c r="A7" s="16" t="s">
        <v>41</v>
      </c>
      <c r="B7" s="16">
        <v>11</v>
      </c>
      <c r="C7" s="16">
        <v>36</v>
      </c>
      <c r="D7" s="16">
        <v>15.3</v>
      </c>
      <c r="E7" s="2">
        <f>((D7/60+C7)/60+B7)*15</f>
        <v>174.06375</v>
      </c>
      <c r="F7" s="16">
        <v>3</v>
      </c>
      <c r="G7" s="16">
        <v>53</v>
      </c>
      <c r="H7" s="16">
        <v>32.53</v>
      </c>
      <c r="I7" s="2">
        <f>IF(F7&gt;0,(G7+H7/60)/60+F7,-(G7+H7/60)/60+F7)</f>
        <v>3.8923694444444443</v>
      </c>
      <c r="K7" t="s">
        <v>17</v>
      </c>
      <c r="L7">
        <f>L4/2</f>
        <v>2592</v>
      </c>
    </row>
    <row r="8" spans="1:12" ht="12.75">
      <c r="A8" s="16" t="s">
        <v>3</v>
      </c>
      <c r="B8" s="16">
        <v>7</v>
      </c>
      <c r="C8" s="16">
        <v>45</v>
      </c>
      <c r="D8" s="16">
        <v>18.2</v>
      </c>
      <c r="E8" s="2">
        <f t="shared" si="0"/>
        <v>116.32583333333334</v>
      </c>
      <c r="F8" s="16">
        <v>28</v>
      </c>
      <c r="G8" s="16">
        <v>1</v>
      </c>
      <c r="H8" s="16">
        <v>33.6</v>
      </c>
      <c r="I8" s="2">
        <f t="shared" si="1"/>
        <v>28.026</v>
      </c>
      <c r="K8" t="s">
        <v>18</v>
      </c>
      <c r="L8">
        <f>L5/2</f>
        <v>1728</v>
      </c>
    </row>
    <row r="9" spans="1:12" ht="12.75">
      <c r="A9" s="16" t="s">
        <v>2</v>
      </c>
      <c r="B9" s="16">
        <v>7</v>
      </c>
      <c r="C9" s="16">
        <v>39</v>
      </c>
      <c r="D9" s="16">
        <v>17.4</v>
      </c>
      <c r="E9" s="2">
        <f t="shared" si="0"/>
        <v>114.8225</v>
      </c>
      <c r="F9" s="16">
        <v>5</v>
      </c>
      <c r="G9" s="16">
        <v>13</v>
      </c>
      <c r="H9" s="16">
        <v>13.44</v>
      </c>
      <c r="I9" s="2">
        <f t="shared" si="1"/>
        <v>5.2204</v>
      </c>
      <c r="K9" t="s">
        <v>9</v>
      </c>
      <c r="L9">
        <f>PI()/180</f>
        <v>0.017453292519943295</v>
      </c>
    </row>
    <row r="10" spans="1:12" ht="12.75">
      <c r="A10" s="16" t="s">
        <v>42</v>
      </c>
      <c r="B10" s="16">
        <v>10</v>
      </c>
      <c r="C10" s="16">
        <v>8</v>
      </c>
      <c r="D10" s="16">
        <v>22.04</v>
      </c>
      <c r="E10" s="2">
        <f t="shared" si="0"/>
        <v>152.09183333333334</v>
      </c>
      <c r="F10" s="16">
        <v>11</v>
      </c>
      <c r="G10" s="16">
        <v>58</v>
      </c>
      <c r="H10" s="16">
        <v>2</v>
      </c>
      <c r="I10" s="2">
        <f t="shared" si="1"/>
        <v>11.967222222222222</v>
      </c>
      <c r="K10" t="s">
        <v>102</v>
      </c>
      <c r="L10">
        <f>xM*2*Massstab</f>
        <v>22.2912</v>
      </c>
    </row>
    <row r="11" spans="1:12" ht="12.75">
      <c r="A11" s="16" t="s">
        <v>4</v>
      </c>
      <c r="B11" s="16">
        <v>5</v>
      </c>
      <c r="C11" s="16">
        <v>14</v>
      </c>
      <c r="D11" s="16">
        <v>32.3</v>
      </c>
      <c r="E11" s="2">
        <f t="shared" si="0"/>
        <v>78.63458333333332</v>
      </c>
      <c r="F11" s="16">
        <v>-8</v>
      </c>
      <c r="G11" s="16">
        <v>12</v>
      </c>
      <c r="H11" s="16">
        <v>5.9</v>
      </c>
      <c r="I11" s="2">
        <f t="shared" si="1"/>
        <v>-8.201638888888889</v>
      </c>
      <c r="K11" t="s">
        <v>103</v>
      </c>
      <c r="L11">
        <f>3456*Massstab</f>
        <v>14.8608</v>
      </c>
    </row>
    <row r="12" spans="1:12" ht="12.75">
      <c r="A12" s="16" t="s">
        <v>5</v>
      </c>
      <c r="B12" s="16">
        <v>6</v>
      </c>
      <c r="C12" s="16">
        <v>45</v>
      </c>
      <c r="D12" s="16">
        <v>8.6</v>
      </c>
      <c r="E12" s="2">
        <f t="shared" si="0"/>
        <v>101.28583333333333</v>
      </c>
      <c r="F12" s="16">
        <v>-16</v>
      </c>
      <c r="G12" s="16">
        <v>43</v>
      </c>
      <c r="H12" s="16">
        <v>6.87</v>
      </c>
      <c r="I12" s="2">
        <f t="shared" si="1"/>
        <v>-16.718575</v>
      </c>
      <c r="K12" t="s">
        <v>104</v>
      </c>
      <c r="L12">
        <f>SQRT(L10^2+L11^2)</f>
        <v>26.790688197207626</v>
      </c>
    </row>
    <row r="13" spans="11:12" ht="12.75">
      <c r="K13" t="s">
        <v>98</v>
      </c>
      <c r="L13">
        <f>ATAN(L12/2/11)*2/Grad</f>
        <v>101.21563091869366</v>
      </c>
    </row>
    <row r="15" spans="1:13" ht="12.75">
      <c r="A15" s="16" t="s">
        <v>111</v>
      </c>
      <c r="K15" s="17" t="s">
        <v>101</v>
      </c>
      <c r="L15" s="17" t="s">
        <v>93</v>
      </c>
      <c r="M15" s="17" t="s">
        <v>94</v>
      </c>
    </row>
    <row r="16" spans="1:13" ht="12.75">
      <c r="A16" s="16" t="s">
        <v>25</v>
      </c>
      <c r="B16" t="s">
        <v>1</v>
      </c>
      <c r="C16">
        <f aca="true" t="shared" si="2" ref="C16:C42">ACOS(SIN(VLOOKUP(A16,$A$3:$I$12,9)*Grad)*SIN(VLOOKUP(B16,$A$3:$I$12,9)*Grad)+COS(VLOOKUP(A16,$A$3:$I$12,9)*Grad)*COS(VLOOKUP(B16,$A$3:$I$12,9)*Grad)*COS(VLOOKUP(A16,$A$3:$I$12,5)*Grad-VLOOKUP(B16,$A$3:$I$12,5)*Grad))/Grad</f>
        <v>21.388267401325542</v>
      </c>
      <c r="K16" s="17" t="s">
        <v>92</v>
      </c>
      <c r="L16" s="28">
        <f>48+56/60</f>
        <v>48.93333333333333</v>
      </c>
      <c r="M16" s="16">
        <f>8+57/60</f>
        <v>8.95</v>
      </c>
    </row>
    <row r="17" spans="1:3" ht="12.75">
      <c r="A17" s="16" t="s">
        <v>25</v>
      </c>
      <c r="B17" t="s">
        <v>26</v>
      </c>
      <c r="C17">
        <f t="shared" si="2"/>
        <v>30.688954375171853</v>
      </c>
    </row>
    <row r="18" spans="1:12" ht="12.75">
      <c r="A18" s="16" t="s">
        <v>25</v>
      </c>
      <c r="B18" t="s">
        <v>0</v>
      </c>
      <c r="C18">
        <f t="shared" si="2"/>
        <v>43.19118899110887</v>
      </c>
      <c r="K18" t="s">
        <v>180</v>
      </c>
      <c r="L18" s="4">
        <f>360/(23+56/60)</f>
        <v>15.041782729805014</v>
      </c>
    </row>
    <row r="19" spans="1:3" ht="12.75">
      <c r="A19" s="16" t="s">
        <v>25</v>
      </c>
      <c r="B19" t="s">
        <v>3</v>
      </c>
      <c r="C19">
        <f t="shared" si="2"/>
        <v>45.01010365879893</v>
      </c>
    </row>
    <row r="20" spans="1:3" ht="12.75">
      <c r="A20" s="16" t="s">
        <v>25</v>
      </c>
      <c r="B20" t="s">
        <v>2</v>
      </c>
      <c r="C20">
        <f t="shared" si="2"/>
        <v>46.290243553033264</v>
      </c>
    </row>
    <row r="21" spans="1:3" ht="12.75">
      <c r="A21" s="16" t="s">
        <v>25</v>
      </c>
      <c r="B21" t="s">
        <v>42</v>
      </c>
      <c r="C21">
        <f t="shared" si="2"/>
        <v>80.12983306148897</v>
      </c>
    </row>
    <row r="22" spans="1:3" ht="12.75">
      <c r="A22" s="16" t="s">
        <v>25</v>
      </c>
      <c r="B22" t="s">
        <v>4</v>
      </c>
      <c r="C22">
        <f t="shared" si="2"/>
        <v>26.492198775872826</v>
      </c>
    </row>
    <row r="23" spans="1:3" ht="12.75">
      <c r="A23" s="16" t="s">
        <v>25</v>
      </c>
      <c r="B23" t="s">
        <v>5</v>
      </c>
      <c r="C23">
        <f t="shared" si="2"/>
        <v>46.022869019882236</v>
      </c>
    </row>
    <row r="24" spans="1:3" ht="12.75">
      <c r="A24" s="16" t="s">
        <v>1</v>
      </c>
      <c r="B24" t="s">
        <v>26</v>
      </c>
      <c r="C24">
        <f t="shared" si="2"/>
        <v>39.470492322432236</v>
      </c>
    </row>
    <row r="25" spans="1:3" ht="12.75">
      <c r="A25" s="16" t="s">
        <v>1</v>
      </c>
      <c r="B25" t="s">
        <v>0</v>
      </c>
      <c r="C25">
        <f t="shared" si="2"/>
        <v>33.68452897445216</v>
      </c>
    </row>
    <row r="26" spans="1:3" ht="12.75">
      <c r="A26" s="16" t="s">
        <v>1</v>
      </c>
      <c r="B26" t="s">
        <v>3</v>
      </c>
      <c r="C26">
        <f t="shared" si="2"/>
        <v>33.19586280593806</v>
      </c>
    </row>
    <row r="27" spans="1:3" ht="12.75">
      <c r="A27" s="16" t="s">
        <v>1</v>
      </c>
      <c r="B27" t="s">
        <v>2</v>
      </c>
      <c r="C27">
        <f t="shared" si="2"/>
        <v>25.959583600608294</v>
      </c>
    </row>
    <row r="28" spans="1:3" ht="12.75">
      <c r="A28" s="16" t="s">
        <v>1</v>
      </c>
      <c r="B28" t="s">
        <v>42</v>
      </c>
      <c r="C28">
        <f t="shared" si="2"/>
        <v>62.44282397971944</v>
      </c>
    </row>
    <row r="29" spans="1:3" ht="12.75">
      <c r="A29" s="16" t="s">
        <v>1</v>
      </c>
      <c r="B29" t="s">
        <v>4</v>
      </c>
      <c r="C29">
        <f t="shared" si="2"/>
        <v>18.60590203510697</v>
      </c>
    </row>
    <row r="30" spans="1:3" ht="12.75">
      <c r="A30" s="16" t="s">
        <v>1</v>
      </c>
      <c r="B30" t="s">
        <v>5</v>
      </c>
      <c r="C30">
        <f t="shared" si="2"/>
        <v>27.106129301288338</v>
      </c>
    </row>
    <row r="31" spans="1:3" ht="12.75">
      <c r="A31" s="16" t="s">
        <v>26</v>
      </c>
      <c r="B31" t="s">
        <v>0</v>
      </c>
      <c r="C31">
        <f t="shared" si="2"/>
        <v>29.975863738678274</v>
      </c>
    </row>
    <row r="32" spans="1:3" ht="12.75">
      <c r="A32" s="16" t="s">
        <v>26</v>
      </c>
      <c r="B32" t="s">
        <v>2</v>
      </c>
      <c r="C32">
        <f t="shared" si="2"/>
        <v>51.12520043592203</v>
      </c>
    </row>
    <row r="33" spans="1:3" ht="12.75">
      <c r="A33" s="16" t="s">
        <v>26</v>
      </c>
      <c r="B33" t="s">
        <v>42</v>
      </c>
      <c r="C33">
        <f t="shared" si="2"/>
        <v>69.58830837705104</v>
      </c>
    </row>
    <row r="34" spans="1:3" ht="12.75">
      <c r="A34" s="16" t="s">
        <v>26</v>
      </c>
      <c r="B34" t="s">
        <v>4</v>
      </c>
      <c r="C34">
        <f t="shared" si="2"/>
        <v>54.19989305567684</v>
      </c>
    </row>
    <row r="35" spans="1:3" ht="12.75">
      <c r="A35" s="16" t="s">
        <v>26</v>
      </c>
      <c r="B35" t="s">
        <v>5</v>
      </c>
      <c r="C35">
        <f t="shared" si="2"/>
        <v>65.8277493737283</v>
      </c>
    </row>
    <row r="36" spans="1:3" ht="12.75">
      <c r="A36" s="16" t="s">
        <v>0</v>
      </c>
      <c r="B36" t="s">
        <v>2</v>
      </c>
      <c r="C36">
        <f t="shared" si="2"/>
        <v>26.690213015429148</v>
      </c>
    </row>
    <row r="37" spans="1:3" ht="12.75">
      <c r="A37" s="16" t="s">
        <v>0</v>
      </c>
      <c r="B37" t="s">
        <v>42</v>
      </c>
      <c r="C37">
        <f t="shared" si="2"/>
        <v>40.5264415257138</v>
      </c>
    </row>
    <row r="38" spans="1:3" ht="12.75">
      <c r="A38" s="16" t="s">
        <v>0</v>
      </c>
      <c r="B38" t="s">
        <v>4</v>
      </c>
      <c r="C38">
        <f t="shared" si="2"/>
        <v>52.19799830312489</v>
      </c>
    </row>
    <row r="39" spans="1:3" ht="12.75">
      <c r="A39" s="16" t="s">
        <v>0</v>
      </c>
      <c r="B39" t="s">
        <v>5</v>
      </c>
      <c r="C39">
        <f t="shared" si="2"/>
        <v>50.03129508485396</v>
      </c>
    </row>
    <row r="40" spans="1:3" ht="12.75">
      <c r="A40" s="16" t="s">
        <v>42</v>
      </c>
      <c r="B40" t="s">
        <v>4</v>
      </c>
      <c r="C40">
        <f t="shared" si="2"/>
        <v>75.75236567604925</v>
      </c>
    </row>
    <row r="41" spans="1:3" ht="12.75">
      <c r="A41" s="16" t="s">
        <v>42</v>
      </c>
      <c r="B41" t="s">
        <v>5</v>
      </c>
      <c r="C41">
        <f t="shared" si="2"/>
        <v>57.83006952507586</v>
      </c>
    </row>
    <row r="42" spans="1:3" ht="12.75">
      <c r="A42" s="16" t="s">
        <v>4</v>
      </c>
      <c r="B42" t="s">
        <v>5</v>
      </c>
      <c r="C42">
        <f t="shared" si="2"/>
        <v>23.672657832137897</v>
      </c>
    </row>
  </sheetData>
  <mergeCells count="3">
    <mergeCell ref="B1:E1"/>
    <mergeCell ref="F1:I1"/>
    <mergeCell ref="K2:M2"/>
  </mergeCells>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N26"/>
  <sheetViews>
    <sheetView workbookViewId="0" topLeftCell="A1">
      <selection activeCell="B14" sqref="B14:C14"/>
    </sheetView>
  </sheetViews>
  <sheetFormatPr defaultColWidth="11.421875" defaultRowHeight="12.75"/>
  <cols>
    <col min="1" max="1" width="24.28125" style="0" customWidth="1"/>
  </cols>
  <sheetData>
    <row r="2" spans="1:3" ht="12.75">
      <c r="A2" t="s">
        <v>14</v>
      </c>
      <c r="B2" s="12">
        <v>11.29</v>
      </c>
      <c r="C2" s="13" t="s">
        <v>60</v>
      </c>
    </row>
    <row r="4" spans="1:6" ht="12.75">
      <c r="A4" s="61" t="s">
        <v>61</v>
      </c>
      <c r="B4" s="61"/>
      <c r="C4" s="61"/>
      <c r="D4" s="61"/>
      <c r="E4" s="62" t="s">
        <v>62</v>
      </c>
      <c r="F4" s="62"/>
    </row>
    <row r="5" spans="1:6" ht="12.75">
      <c r="A5" s="17" t="s">
        <v>64</v>
      </c>
      <c r="B5" s="17" t="s">
        <v>19</v>
      </c>
      <c r="C5" s="17" t="s">
        <v>20</v>
      </c>
      <c r="D5" s="17" t="s">
        <v>21</v>
      </c>
      <c r="E5" t="s">
        <v>23</v>
      </c>
      <c r="F5" t="s">
        <v>24</v>
      </c>
    </row>
    <row r="6" spans="1:6" ht="12.75">
      <c r="A6" s="16" t="s">
        <v>1</v>
      </c>
      <c r="B6" s="16">
        <v>3653</v>
      </c>
      <c r="C6" s="16">
        <v>2146</v>
      </c>
      <c r="D6" s="17">
        <f>SQRT((B6-xM)^2+(C6-yM)^2)*Massstab</f>
        <v>4.903593381388795</v>
      </c>
      <c r="E6">
        <f>ATAN2(B6-xM,-C6+yM)/Grad</f>
        <v>-21.502850888428483</v>
      </c>
      <c r="F6">
        <f>ATAN($B$2/D6)/Grad</f>
        <v>66.52321488063525</v>
      </c>
    </row>
    <row r="7" spans="1:6" ht="12.75">
      <c r="A7" s="16" t="s">
        <v>26</v>
      </c>
      <c r="B7" s="16">
        <v>2313</v>
      </c>
      <c r="C7" s="16">
        <v>775</v>
      </c>
      <c r="D7" s="17">
        <f>SQRT((B7-xM)^2+(C7-yM)^2)*Massstab</f>
        <v>4.2699021651555435</v>
      </c>
      <c r="E7">
        <f>ATAN2(B7-xM,-C7+yM)/Grad</f>
        <v>106.31790436606047</v>
      </c>
      <c r="F7">
        <f>ATAN($B$2/D7)/Grad</f>
        <v>69.28327471071592</v>
      </c>
    </row>
    <row r="8" spans="1:14" ht="12.75">
      <c r="A8" s="16" t="s">
        <v>0</v>
      </c>
      <c r="B8" s="16">
        <v>2026</v>
      </c>
      <c r="C8" s="16">
        <v>2176</v>
      </c>
      <c r="D8" s="17">
        <f>SQRT((B8-xM)^2+(C8-yM)^2)*Massstab</f>
        <v>3.103932892315812</v>
      </c>
      <c r="E8">
        <f>ATAN2(B8-xM,-C8+yM)/Grad</f>
        <v>-141.63770069219828</v>
      </c>
      <c r="F8">
        <f>ATAN($B$2/D8)/Grad</f>
        <v>74.6276040241397</v>
      </c>
      <c r="G8" s="60" t="s">
        <v>58</v>
      </c>
      <c r="H8" s="60"/>
      <c r="I8" s="60"/>
      <c r="J8" s="60"/>
      <c r="K8" s="60"/>
      <c r="L8" s="60"/>
      <c r="M8" s="10"/>
      <c r="N8" s="10"/>
    </row>
    <row r="9" spans="1:13" ht="12.75">
      <c r="A9" s="16" t="s">
        <v>16</v>
      </c>
      <c r="B9" s="16">
        <v>2525</v>
      </c>
      <c r="C9" s="16">
        <v>2722</v>
      </c>
      <c r="D9" s="17">
        <f>SQRT((B9-xM)^2+(C9-yM)^2)*Massstab</f>
        <v>4.283898604075498</v>
      </c>
      <c r="E9">
        <f>ATAN2(B9-xM,-C9+yM)/Grad</f>
        <v>-93.85615625655902</v>
      </c>
      <c r="F9">
        <f>ATAN($B$2/D9)/Grad</f>
        <v>69.22115810291805</v>
      </c>
      <c r="G9">
        <v>7</v>
      </c>
      <c r="H9">
        <v>34</v>
      </c>
      <c r="I9">
        <v>1.5</v>
      </c>
      <c r="J9">
        <v>16</v>
      </c>
      <c r="K9">
        <v>37</v>
      </c>
      <c r="L9">
        <v>21.96</v>
      </c>
      <c r="M9" s="5"/>
    </row>
    <row r="10" spans="1:6" ht="12.75">
      <c r="A10" s="16" t="s">
        <v>4</v>
      </c>
      <c r="B10" s="16">
        <v>4854</v>
      </c>
      <c r="C10" s="16">
        <v>2256</v>
      </c>
      <c r="D10" s="17">
        <f>SQRT((B10-xM)^2+(C10-yM)^2)*Massstab</f>
        <v>9.988066065059842</v>
      </c>
      <c r="E10">
        <f>ATAN2(B10-xM,-C10+yM)/Grad</f>
        <v>-13.138826581038181</v>
      </c>
      <c r="F10">
        <f>ATAN($B$2/D10)/Grad</f>
        <v>48.50137262519447</v>
      </c>
    </row>
    <row r="13" spans="2:3" ht="12.75">
      <c r="B13" s="7" t="s">
        <v>43</v>
      </c>
      <c r="C13" s="7" t="s">
        <v>44</v>
      </c>
    </row>
    <row r="14" spans="1:3" ht="12.75">
      <c r="A14" s="5" t="s">
        <v>46</v>
      </c>
      <c r="B14" s="6">
        <v>113.38153061012716</v>
      </c>
      <c r="C14" s="6">
        <v>16.669659689380108</v>
      </c>
    </row>
    <row r="15" ht="12.75">
      <c r="A15" t="s">
        <v>45</v>
      </c>
    </row>
    <row r="16" spans="1:3" ht="12.75">
      <c r="A16" t="s">
        <v>59</v>
      </c>
      <c r="B16" s="9">
        <f>(G9+(H9+I9/60)/60)*15</f>
        <v>113.50625000000001</v>
      </c>
      <c r="C16" s="9">
        <f>J9+(K9+L9/60)/60</f>
        <v>16.622766666666667</v>
      </c>
    </row>
    <row r="20" spans="1:3" ht="12.75">
      <c r="A20" s="59" t="s">
        <v>110</v>
      </c>
      <c r="B20" s="59"/>
      <c r="C20" s="59"/>
    </row>
    <row r="21" spans="1:4" ht="12.75">
      <c r="A21" s="16" t="s">
        <v>0</v>
      </c>
      <c r="B21" s="16" t="s">
        <v>1</v>
      </c>
      <c r="C21">
        <f aca="true" t="shared" si="0" ref="C21:C26">ACOS(SIN(VLOOKUP(A21,$A$6:$F$10,6)*Grad)*SIN(VLOOKUP(B21,$A$6:$F$10,6)*Grad)+COS(VLOOKUP(A21,$A$6:$F$10,6)*Grad)*COS(VLOOKUP(B21,$A$6:$F$10,6)*Grad)*COS(VLOOKUP(A21,$A$6:$F$10,5)*Grad-VLOOKUP(B21,$A$6:$F$10,5)*Grad))/Grad</f>
        <v>33.75841852867099</v>
      </c>
      <c r="D21">
        <f>ACOS(SIN(VLOOKUP(A21,Bezugssterne!$A$3:$I$12,9)*Grad)*SIN(VLOOKUP(B21,Bezugssterne!$A$3:$I$12,9)*Grad)+COS(VLOOKUP(A21,Bezugssterne!$A$3:$I$12,9)*Grad)*COS(VLOOKUP(B21,Bezugssterne!$A$3:$I$12,9)*Grad)*COS(VLOOKUP(A21,Bezugssterne!$A$3:$I$12,5)*Grad-VLOOKUP(B21,Bezugssterne!$A$3:$I$12,5)*Grad))/Grad</f>
        <v>33.68452897445216</v>
      </c>
    </row>
    <row r="22" spans="1:4" ht="12.75">
      <c r="A22" s="16" t="s">
        <v>0</v>
      </c>
      <c r="B22" s="16" t="s">
        <v>26</v>
      </c>
      <c r="C22">
        <f t="shared" si="0"/>
        <v>29.924786334551456</v>
      </c>
      <c r="D22">
        <f>ACOS(SIN(VLOOKUP(A22,Bezugssterne!$A$3:$I$12,9)*Grad)*SIN(VLOOKUP(B22,Bezugssterne!$A$3:$I$12,9)*Grad)+COS(VLOOKUP(A22,Bezugssterne!$A$3:$I$12,9)*Grad)*COS(VLOOKUP(B22,Bezugssterne!$A$3:$I$12,9)*Grad)*COS(VLOOKUP(A22,Bezugssterne!$A$3:$I$12,5)*Grad-VLOOKUP(B22,Bezugssterne!$A$3:$I$12,5)*Grad))/Grad</f>
        <v>29.975863738678274</v>
      </c>
    </row>
    <row r="23" spans="1:4" ht="12.75">
      <c r="A23" s="16" t="s">
        <v>1</v>
      </c>
      <c r="B23" s="16" t="s">
        <v>26</v>
      </c>
      <c r="C23">
        <f t="shared" si="0"/>
        <v>39.51118625537409</v>
      </c>
      <c r="D23">
        <f>ACOS(SIN(VLOOKUP(A23,Bezugssterne!$A$3:$I$12,9)*Grad)*SIN(VLOOKUP(B23,Bezugssterne!$A$3:$I$12,9)*Grad)+COS(VLOOKUP(A23,Bezugssterne!$A$3:$I$12,9)*Grad)*COS(VLOOKUP(B23,Bezugssterne!$A$3:$I$12,9)*Grad)*COS(VLOOKUP(A23,Bezugssterne!$A$3:$I$12,5)*Grad-VLOOKUP(B23,Bezugssterne!$A$3:$I$12,5)*Grad))/Grad</f>
        <v>39.470492322432236</v>
      </c>
    </row>
    <row r="24" spans="1:4" ht="12.75">
      <c r="A24" s="16" t="s">
        <v>4</v>
      </c>
      <c r="B24" s="16" t="s">
        <v>26</v>
      </c>
      <c r="C24">
        <f t="shared" si="0"/>
        <v>54.17746600816478</v>
      </c>
      <c r="D24">
        <f>ACOS(SIN(VLOOKUP(A24,Bezugssterne!$A$3:$I$12,9)*Grad)*SIN(VLOOKUP(B24,Bezugssterne!$A$3:$I$12,9)*Grad)+COS(VLOOKUP(A24,Bezugssterne!$A$3:$I$12,9)*Grad)*COS(VLOOKUP(B24,Bezugssterne!$A$3:$I$12,9)*Grad)*COS(VLOOKUP(A24,Bezugssterne!$A$3:$I$12,5)*Grad-VLOOKUP(B24,Bezugssterne!$A$3:$I$12,5)*Grad))/Grad</f>
        <v>54.19989305567684</v>
      </c>
    </row>
    <row r="25" spans="1:3" ht="12.75">
      <c r="A25" s="16" t="s">
        <v>16</v>
      </c>
      <c r="B25" s="16" t="s">
        <v>26</v>
      </c>
      <c r="C25">
        <f t="shared" si="0"/>
        <v>40.82531594060077</v>
      </c>
    </row>
    <row r="26" spans="1:3" ht="12.75">
      <c r="A26" s="16" t="s">
        <v>16</v>
      </c>
      <c r="B26" s="16" t="s">
        <v>4</v>
      </c>
      <c r="C26">
        <f t="shared" si="0"/>
        <v>42.42394924163518</v>
      </c>
    </row>
  </sheetData>
  <mergeCells count="4">
    <mergeCell ref="A20:C20"/>
    <mergeCell ref="G8:L8"/>
    <mergeCell ref="A4:D4"/>
    <mergeCell ref="E4:F4"/>
  </mergeCells>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L26"/>
  <sheetViews>
    <sheetView workbookViewId="0" topLeftCell="A1">
      <selection activeCell="B14" sqref="B14:C14"/>
    </sheetView>
  </sheetViews>
  <sheetFormatPr defaultColWidth="11.421875" defaultRowHeight="12.75"/>
  <cols>
    <col min="1" max="1" width="25.28125" style="0" customWidth="1"/>
  </cols>
  <sheetData>
    <row r="2" spans="1:3" ht="12.75">
      <c r="A2" t="s">
        <v>14</v>
      </c>
      <c r="B2" s="14">
        <v>11.3</v>
      </c>
      <c r="C2" s="13" t="s">
        <v>60</v>
      </c>
    </row>
    <row r="4" spans="1:6" ht="12.75">
      <c r="A4" s="63" t="s">
        <v>61</v>
      </c>
      <c r="B4" s="63"/>
      <c r="C4" s="63"/>
      <c r="D4" s="63"/>
      <c r="E4" s="62" t="s">
        <v>62</v>
      </c>
      <c r="F4" s="62"/>
    </row>
    <row r="5" spans="1:6" ht="12.75">
      <c r="A5" s="16" t="s">
        <v>64</v>
      </c>
      <c r="B5" s="16" t="s">
        <v>19</v>
      </c>
      <c r="C5" s="16" t="s">
        <v>20</v>
      </c>
      <c r="D5" s="16" t="s">
        <v>21</v>
      </c>
      <c r="E5" t="s">
        <v>23</v>
      </c>
      <c r="F5" t="s">
        <v>24</v>
      </c>
    </row>
    <row r="6" spans="1:6" ht="12.75">
      <c r="A6" s="16" t="s">
        <v>0</v>
      </c>
      <c r="B6" s="16">
        <v>4214</v>
      </c>
      <c r="C6" s="16">
        <v>1951</v>
      </c>
      <c r="D6" s="16">
        <f>SQRT((B6-xM)^2+(C6-yM)^2)*Massstab</f>
        <v>7.040208403875556</v>
      </c>
      <c r="E6">
        <f>ATAN2(B6-xM,-C6+yM)/Grad</f>
        <v>-7.828209790758046</v>
      </c>
      <c r="F6">
        <f>ATAN($B$2/D6)/Grad</f>
        <v>58.07596729651412</v>
      </c>
    </row>
    <row r="7" spans="1:12" ht="12.75">
      <c r="A7" s="16" t="s">
        <v>41</v>
      </c>
      <c r="B7" s="16">
        <v>1117.43</v>
      </c>
      <c r="C7" s="16">
        <v>1157.58</v>
      </c>
      <c r="D7" s="16">
        <f>SQRT((B7-xM)^2+(C7-yM)^2)*Massstab</f>
        <v>6.7985375175427984</v>
      </c>
      <c r="E7">
        <f>ATAN2(B7-xM,-C7+yM)/Grad</f>
        <v>158.85162599932016</v>
      </c>
      <c r="F7">
        <f>ATAN($B$2/D7)/Grad</f>
        <v>58.96718094483812</v>
      </c>
      <c r="G7" s="60" t="s">
        <v>58</v>
      </c>
      <c r="H7" s="60"/>
      <c r="I7" s="60"/>
      <c r="J7" s="60"/>
      <c r="K7" s="60"/>
      <c r="L7" s="60"/>
    </row>
    <row r="8" spans="1:12" ht="12.75">
      <c r="A8" s="16" t="s">
        <v>16</v>
      </c>
      <c r="B8" s="16">
        <v>3561</v>
      </c>
      <c r="C8" s="16">
        <v>2542</v>
      </c>
      <c r="D8" s="16">
        <f>SQRT((B8-xM)^2+(C8-yM)^2)*Massstab</f>
        <v>5.441763402611326</v>
      </c>
      <c r="E8">
        <f>ATAN2(B8-xM,-C8+yM)/Grad</f>
        <v>-40.0316459409645</v>
      </c>
      <c r="F8">
        <f>ATAN($B$2/D8)/Grad</f>
        <v>64.28583689784838</v>
      </c>
      <c r="G8">
        <v>7</v>
      </c>
      <c r="H8">
        <v>51</v>
      </c>
      <c r="I8">
        <v>47.58</v>
      </c>
      <c r="J8">
        <v>15</v>
      </c>
      <c r="K8">
        <v>51</v>
      </c>
      <c r="L8">
        <v>49.79</v>
      </c>
    </row>
    <row r="9" spans="1:6" ht="12.75">
      <c r="A9" s="16" t="s">
        <v>42</v>
      </c>
      <c r="B9" s="16">
        <v>2198</v>
      </c>
      <c r="C9" s="16">
        <v>1664</v>
      </c>
      <c r="D9" s="16">
        <f>SQRT((B9-xM)^2+(C9-yM)^2)*Massstab</f>
        <v>1.7164057445720695</v>
      </c>
      <c r="E9">
        <f>ATAN2(B9-xM,-C9+yM)/Grad</f>
        <v>170.7736557802238</v>
      </c>
      <c r="F9">
        <f>ATAN($B$2/D9)/Grad</f>
        <v>81.36311614889065</v>
      </c>
    </row>
    <row r="13" spans="2:3" ht="12.75">
      <c r="B13" s="7" t="s">
        <v>43</v>
      </c>
      <c r="C13" s="7" t="s">
        <v>44</v>
      </c>
    </row>
    <row r="14" spans="1:3" ht="12.75">
      <c r="A14" s="5" t="s">
        <v>46</v>
      </c>
      <c r="B14" s="6">
        <v>117.87145872353248</v>
      </c>
      <c r="C14" s="6">
        <v>15.844818775780361</v>
      </c>
    </row>
    <row r="15" ht="12.75">
      <c r="A15" t="s">
        <v>56</v>
      </c>
    </row>
    <row r="16" spans="1:3" ht="12.75">
      <c r="A16" t="s">
        <v>59</v>
      </c>
      <c r="B16" s="9">
        <f>(G8+(H8+I8/60)/60)*15</f>
        <v>117.94825</v>
      </c>
      <c r="C16" s="9">
        <f>J8+(K8+L8/60)/60</f>
        <v>15.863830555555555</v>
      </c>
    </row>
    <row r="20" spans="1:3" ht="12.75">
      <c r="A20" s="59" t="s">
        <v>57</v>
      </c>
      <c r="B20" s="59"/>
      <c r="C20" s="59"/>
    </row>
    <row r="21" spans="1:4" ht="12.75">
      <c r="A21" t="s">
        <v>41</v>
      </c>
      <c r="B21" t="s">
        <v>42</v>
      </c>
      <c r="C21">
        <f aca="true" t="shared" si="0" ref="C21:C26">ACOS(SIN(VLOOKUP(A21,$A$6:$F$10,6)*Grad)*SIN(VLOOKUP(B21,$A$6:$F$10,6)*Grad)+COS(VLOOKUP(A21,$A$6:$F$10,6)*Grad)*COS(VLOOKUP(B21,$A$6:$F$10,6)*Grad)*COS(VLOOKUP(A21,$A$6:$F$10,5)*Grad-VLOOKUP(B21,$A$6:$F$10,5)*Grad))/Grad</f>
        <v>22.64574032225654</v>
      </c>
      <c r="D21">
        <f>ACOS(SIN(VLOOKUP(A21,Bezugssterne!$A$3:$I$12,9)*Grad)*SIN(VLOOKUP(B21,Bezugssterne!$A$3:$I$12,9)*Grad)+COS(VLOOKUP(A21,Bezugssterne!$A$3:$I$12,9)*Grad)*COS(VLOOKUP(B21,Bezugssterne!$A$3:$I$12,9)*Grad)*COS(VLOOKUP(A21,Bezugssterne!$A$3:$I$12,5)*Grad-VLOOKUP(B21,Bezugssterne!$A$3:$I$12,5)*Grad))/Grad</f>
        <v>23.191288098090304</v>
      </c>
    </row>
    <row r="22" spans="1:4" ht="12.75">
      <c r="A22" t="s">
        <v>41</v>
      </c>
      <c r="B22" t="s">
        <v>0</v>
      </c>
      <c r="C22">
        <f t="shared" si="0"/>
        <v>62.484075120511406</v>
      </c>
      <c r="D22">
        <f>ACOS(SIN(VLOOKUP(A22,Bezugssterne!$A$3:$I$12,9)*Grad)*SIN(VLOOKUP(B22,Bezugssterne!$A$3:$I$12,9)*Grad)+COS(VLOOKUP(A22,Bezugssterne!$A$3:$I$12,9)*Grad)*COS(VLOOKUP(B22,Bezugssterne!$A$3:$I$12,9)*Grad)*COS(VLOOKUP(A22,Bezugssterne!$A$3:$I$12,5)*Grad-VLOOKUP(B22,Bezugssterne!$A$3:$I$12,5)*Grad))/Grad</f>
        <v>62.99316684529024</v>
      </c>
    </row>
    <row r="23" spans="1:4" ht="12.75">
      <c r="A23" t="s">
        <v>42</v>
      </c>
      <c r="B23" t="s">
        <v>0</v>
      </c>
      <c r="C23">
        <f t="shared" si="0"/>
        <v>40.55883338933656</v>
      </c>
      <c r="D23">
        <f>ACOS(SIN(VLOOKUP(A23,Bezugssterne!$A$3:$I$12,9)*Grad)*SIN(VLOOKUP(B23,Bezugssterne!$A$3:$I$12,9)*Grad)+COS(VLOOKUP(A23,Bezugssterne!$A$3:$I$12,9)*Grad)*COS(VLOOKUP(B23,Bezugssterne!$A$3:$I$12,9)*Grad)*COS(VLOOKUP(A23,Bezugssterne!$A$3:$I$12,5)*Grad-VLOOKUP(B23,Bezugssterne!$A$3:$I$12,5)*Grad))/Grad</f>
        <v>40.5264415257138</v>
      </c>
    </row>
    <row r="24" spans="1:3" ht="12.75">
      <c r="A24" t="s">
        <v>16</v>
      </c>
      <c r="B24" t="s">
        <v>0</v>
      </c>
      <c r="C24">
        <f t="shared" si="0"/>
        <v>16.496626673627063</v>
      </c>
    </row>
    <row r="25" spans="1:3" ht="12.75">
      <c r="A25" t="s">
        <v>16</v>
      </c>
      <c r="B25" t="s">
        <v>42</v>
      </c>
      <c r="C25">
        <f t="shared" si="0"/>
        <v>33.406156108598026</v>
      </c>
    </row>
    <row r="26" spans="1:3" ht="12.75">
      <c r="A26" t="s">
        <v>16</v>
      </c>
      <c r="B26" t="s">
        <v>41</v>
      </c>
      <c r="C26">
        <f t="shared" si="0"/>
        <v>55.918217050692434</v>
      </c>
    </row>
  </sheetData>
  <mergeCells count="4">
    <mergeCell ref="E4:F4"/>
    <mergeCell ref="A4:D4"/>
    <mergeCell ref="G7:L7"/>
    <mergeCell ref="A20:C20"/>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2:L28"/>
  <sheetViews>
    <sheetView workbookViewId="0" topLeftCell="A1">
      <selection activeCell="B14" sqref="B14:C14"/>
    </sheetView>
  </sheetViews>
  <sheetFormatPr defaultColWidth="11.421875" defaultRowHeight="12.75"/>
  <cols>
    <col min="1" max="1" width="25.00390625" style="0" customWidth="1"/>
  </cols>
  <sheetData>
    <row r="2" spans="1:3" ht="12.75">
      <c r="A2" t="s">
        <v>14</v>
      </c>
      <c r="B2" s="15">
        <v>12.31</v>
      </c>
      <c r="C2" s="13" t="s">
        <v>60</v>
      </c>
    </row>
    <row r="3" ht="12.75">
      <c r="B3" s="3"/>
    </row>
    <row r="4" spans="1:6" ht="12.75">
      <c r="A4" s="62"/>
      <c r="B4" s="62"/>
      <c r="C4" s="62"/>
      <c r="D4" s="62"/>
      <c r="E4" s="62"/>
      <c r="F4" s="62"/>
    </row>
    <row r="5" spans="1:6" ht="12.75">
      <c r="A5" s="16" t="s">
        <v>64</v>
      </c>
      <c r="B5" s="16" t="s">
        <v>19</v>
      </c>
      <c r="C5" s="16" t="s">
        <v>20</v>
      </c>
      <c r="D5" s="16" t="s">
        <v>21</v>
      </c>
      <c r="E5" t="s">
        <v>23</v>
      </c>
      <c r="F5" t="s">
        <v>24</v>
      </c>
    </row>
    <row r="6" spans="1:12" ht="12.75">
      <c r="A6" s="16" t="s">
        <v>1</v>
      </c>
      <c r="B6" s="16">
        <v>3111</v>
      </c>
      <c r="C6" s="16">
        <v>1409</v>
      </c>
      <c r="D6" s="16">
        <f>SQRT((B6-xM)^2+(C6-yM)^2)*Massstab</f>
        <v>2.6195506828462016</v>
      </c>
      <c r="E6">
        <f>ATAN2(B6-xM,-C6+yM)/Grad</f>
        <v>31.576694754050045</v>
      </c>
      <c r="F6">
        <f>ATAN($B$2/D6)/Grad</f>
        <v>77.98673271484833</v>
      </c>
      <c r="G6" s="60" t="s">
        <v>58</v>
      </c>
      <c r="H6" s="60"/>
      <c r="I6" s="60"/>
      <c r="J6" s="60"/>
      <c r="K6" s="60"/>
      <c r="L6" s="60"/>
    </row>
    <row r="7" spans="1:12" ht="12.75">
      <c r="A7" s="16" t="s">
        <v>16</v>
      </c>
      <c r="B7" s="16">
        <v>1253</v>
      </c>
      <c r="C7" s="16">
        <v>2291</v>
      </c>
      <c r="D7" s="16">
        <f>SQRT((B7-xM)^2+(C7-yM)^2)*Massstab</f>
        <v>6.245947974487139</v>
      </c>
      <c r="E7">
        <f>ATAN2(B7-xM,-C7+yM)/Grad</f>
        <v>-157.1950463270353</v>
      </c>
      <c r="F7">
        <f>ATAN($B$2/D7)/Grad</f>
        <v>63.097303287059766</v>
      </c>
      <c r="G7">
        <v>8</v>
      </c>
      <c r="H7">
        <v>30</v>
      </c>
      <c r="I7">
        <v>19.92</v>
      </c>
      <c r="J7">
        <v>14</v>
      </c>
      <c r="K7">
        <v>32</v>
      </c>
      <c r="L7">
        <v>56.07</v>
      </c>
    </row>
    <row r="8" spans="1:6" ht="12.75">
      <c r="A8" s="16" t="s">
        <v>3</v>
      </c>
      <c r="B8" s="16">
        <v>1367</v>
      </c>
      <c r="C8" s="16">
        <v>1352</v>
      </c>
      <c r="D8" s="16">
        <f>SQRT((B8-xM)^2+(C8-yM)^2)*Massstab</f>
        <v>5.510045234841543</v>
      </c>
      <c r="E8">
        <f>ATAN2(B8-xM,-C8+yM)/Grad</f>
        <v>162.93671960777442</v>
      </c>
      <c r="F8">
        <f>ATAN($B$2/D8)/Grad</f>
        <v>65.88636463681364</v>
      </c>
    </row>
    <row r="9" spans="1:6" ht="12.75">
      <c r="A9" s="16" t="s">
        <v>2</v>
      </c>
      <c r="B9" s="16">
        <v>2131</v>
      </c>
      <c r="C9" s="16">
        <v>2304</v>
      </c>
      <c r="D9" s="16">
        <f>SQRT((B9-xM)^2+(C9-yM)^2)*Massstab</f>
        <v>3.1723889310738684</v>
      </c>
      <c r="E9">
        <f>ATAN2(B9-xM,-C9+yM)/Grad</f>
        <v>-128.67193691172287</v>
      </c>
      <c r="F9">
        <f>ATAN($B$2/D9)/Grad</f>
        <v>75.54884392470795</v>
      </c>
    </row>
    <row r="10" spans="1:6" ht="12.75">
      <c r="A10" s="16" t="s">
        <v>5</v>
      </c>
      <c r="B10" s="16">
        <v>3408</v>
      </c>
      <c r="C10" s="16">
        <v>2827</v>
      </c>
      <c r="D10" s="16">
        <f>SQRT((B10-xM)^2+(C10-yM)^2)*Massstab</f>
        <v>5.8859084201166425</v>
      </c>
      <c r="E10">
        <f>ATAN2(B10-xM,-C10+yM)/Grad</f>
        <v>-53.4063656608844</v>
      </c>
      <c r="F10">
        <f>ATAN($B$2/D10)/Grad</f>
        <v>64.44565221723293</v>
      </c>
    </row>
    <row r="13" spans="2:3" ht="12.75">
      <c r="B13" s="7" t="s">
        <v>43</v>
      </c>
      <c r="C13" s="7" t="s">
        <v>44</v>
      </c>
    </row>
    <row r="14" spans="1:3" ht="12.75">
      <c r="A14" s="5" t="s">
        <v>46</v>
      </c>
      <c r="B14" s="6">
        <v>127.67202311256533</v>
      </c>
      <c r="C14" s="6">
        <v>14.567059467241707</v>
      </c>
    </row>
    <row r="15" ht="12.75">
      <c r="A15" t="s">
        <v>112</v>
      </c>
    </row>
    <row r="16" spans="1:3" ht="12.75">
      <c r="A16" t="s">
        <v>59</v>
      </c>
      <c r="B16" s="4">
        <f>(G7+(H7+I7/60)/60)*15</f>
        <v>127.58300000000001</v>
      </c>
      <c r="C16" s="4">
        <f>J7+(K7+L7/60)/60</f>
        <v>14.548908333333333</v>
      </c>
    </row>
    <row r="20" spans="1:3" ht="12.75">
      <c r="A20" s="59" t="s">
        <v>57</v>
      </c>
      <c r="B20" s="59"/>
      <c r="C20" s="59"/>
    </row>
    <row r="21" spans="1:4" ht="12.75">
      <c r="A21" t="s">
        <v>2</v>
      </c>
      <c r="B21" t="s">
        <v>3</v>
      </c>
      <c r="C21">
        <f aca="true" t="shared" si="0" ref="C21:C28">ACOS(SIN(VLOOKUP(A21,$A$6:$F$10,6)*Grad)*SIN(VLOOKUP(B21,$A$6:$F$10,6)*Grad)+COS(VLOOKUP(A21,$A$6:$F$10,6)*Grad)*COS(VLOOKUP(B21,$A$6:$F$10,6)*Grad)*COS(VLOOKUP(A21,$A$6:$F$10,5)*Grad-VLOOKUP(B21,$A$6:$F$10,5)*Grad))/Grad</f>
        <v>22.8676314892504</v>
      </c>
      <c r="D21">
        <f>ACOS(SIN(VLOOKUP(A21,Bezugssterne!$A$3:$I$12,9)*Grad)*SIN(VLOOKUP(B21,Bezugssterne!$A$3:$I$12,9)*Grad)+COS(VLOOKUP(A21,Bezugssterne!$A$3:$I$12,9)*Grad)*COS(VLOOKUP(B21,Bezugssterne!$A$3:$I$12,9)*Grad)*COS(VLOOKUP(A21,Bezugssterne!$A$3:$I$12,5)*Grad-VLOOKUP(B21,Bezugssterne!$A$3:$I$12,5)*Grad))/Grad</f>
        <v>22.850285360324058</v>
      </c>
    </row>
    <row r="22" spans="1:4" ht="12.75">
      <c r="A22" t="s">
        <v>2</v>
      </c>
      <c r="B22" t="s">
        <v>5</v>
      </c>
      <c r="C22">
        <f t="shared" si="0"/>
        <v>25.708612336086173</v>
      </c>
      <c r="D22">
        <f>ACOS(SIN(VLOOKUP(A22,Bezugssterne!$A$3:$I$12,9)*Grad)*SIN(VLOOKUP(B22,Bezugssterne!$A$3:$I$12,9)*Grad)+COS(VLOOKUP(A22,Bezugssterne!$A$3:$I$12,9)*Grad)*COS(VLOOKUP(B22,Bezugssterne!$A$3:$I$12,9)*Grad)*COS(VLOOKUP(A22,Bezugssterne!$A$3:$I$12,5)*Grad-VLOOKUP(B22,Bezugssterne!$A$3:$I$12,5)*Grad))/Grad</f>
        <v>25.698646105392264</v>
      </c>
    </row>
    <row r="23" spans="1:4" ht="12.75">
      <c r="A23" t="s">
        <v>3</v>
      </c>
      <c r="B23" t="s">
        <v>5</v>
      </c>
      <c r="C23">
        <f t="shared" si="0"/>
        <v>47.03931276804572</v>
      </c>
      <c r="D23">
        <f>ACOS(SIN(VLOOKUP(A23,Bezugssterne!$A$3:$I$12,9)*Grad)*SIN(VLOOKUP(B23,Bezugssterne!$A$3:$I$12,9)*Grad)+COS(VLOOKUP(A23,Bezugssterne!$A$3:$I$12,9)*Grad)*COS(VLOOKUP(B23,Bezugssterne!$A$3:$I$12,9)*Grad)*COS(VLOOKUP(A23,Bezugssterne!$A$3:$I$12,5)*Grad-VLOOKUP(B23,Bezugssterne!$A$3:$I$12,5)*Grad))/Grad</f>
        <v>47.05530785167859</v>
      </c>
    </row>
    <row r="24" spans="1:3" ht="12.75">
      <c r="A24" t="s">
        <v>16</v>
      </c>
      <c r="B24" t="s">
        <v>4</v>
      </c>
      <c r="C24">
        <f t="shared" si="0"/>
        <v>15.682724337656412</v>
      </c>
    </row>
    <row r="25" spans="1:3" ht="12.75">
      <c r="A25" t="s">
        <v>16</v>
      </c>
      <c r="B25" t="s">
        <v>2</v>
      </c>
      <c r="C25">
        <f t="shared" si="0"/>
        <v>15.682724337656412</v>
      </c>
    </row>
    <row r="26" spans="1:3" ht="12.75">
      <c r="A26" t="s">
        <v>16</v>
      </c>
      <c r="B26" t="s">
        <v>3</v>
      </c>
      <c r="C26">
        <f t="shared" si="0"/>
        <v>17.090898679664186</v>
      </c>
    </row>
    <row r="27" spans="1:3" ht="12.75">
      <c r="A27" t="s">
        <v>16</v>
      </c>
      <c r="B27" t="s">
        <v>1</v>
      </c>
      <c r="C27">
        <f t="shared" si="0"/>
        <v>38.81538504246345</v>
      </c>
    </row>
    <row r="28" spans="1:3" ht="12.75">
      <c r="A28" t="s">
        <v>16</v>
      </c>
      <c r="B28" t="s">
        <v>5</v>
      </c>
      <c r="C28">
        <f t="shared" si="0"/>
        <v>40.71011319436098</v>
      </c>
    </row>
  </sheetData>
  <mergeCells count="4">
    <mergeCell ref="E4:F4"/>
    <mergeCell ref="A4:D4"/>
    <mergeCell ref="G6:L6"/>
    <mergeCell ref="A20:C20"/>
  </mergeCells>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2:J31"/>
  <sheetViews>
    <sheetView workbookViewId="0" topLeftCell="A1">
      <selection activeCell="A3" sqref="A3"/>
    </sheetView>
  </sheetViews>
  <sheetFormatPr defaultColWidth="11.421875" defaultRowHeight="12.75"/>
  <cols>
    <col min="1" max="1" width="39.57421875" style="0" customWidth="1"/>
    <col min="2" max="2" width="12.421875" style="0" bestFit="1" customWidth="1"/>
  </cols>
  <sheetData>
    <row r="2" ht="12.75">
      <c r="A2" t="s">
        <v>65</v>
      </c>
    </row>
    <row r="3" spans="1:3" ht="12.75">
      <c r="A3" s="16" t="s">
        <v>26</v>
      </c>
      <c r="B3" s="27">
        <f>VLOOKUP(A3,Bezugssterne!$A$3:$I$12,5)</f>
        <v>79.17279166666667</v>
      </c>
      <c r="C3" s="27">
        <f>VLOOKUP(A3,Bezugssterne!$A$3:$I$12,9)</f>
        <v>45.99611111111111</v>
      </c>
    </row>
    <row r="4" spans="1:3" ht="12.75">
      <c r="A4" s="16" t="s">
        <v>1</v>
      </c>
      <c r="B4" s="27">
        <f>VLOOKUP(A4,Bezugssterne!$A$3:$I$12,5)</f>
        <v>88.79291666666667</v>
      </c>
      <c r="C4" s="27">
        <f>VLOOKUP(A4,Bezugssterne!$A$3:$I$12,9)</f>
        <v>7.4070833333333335</v>
      </c>
    </row>
    <row r="6" ht="12.75">
      <c r="A6" t="s">
        <v>66</v>
      </c>
    </row>
    <row r="7" spans="1:2" ht="12.75">
      <c r="A7" t="str">
        <f>CONCATENATE(A3,"- Mond")</f>
        <v>Capella- Mond</v>
      </c>
      <c r="B7" s="28">
        <v>40.1716988528609</v>
      </c>
    </row>
    <row r="8" spans="1:2" ht="12.75">
      <c r="A8" t="str">
        <f>CONCATENATE(A4,"- Mond")</f>
        <v>Beteigeuze- Mond</v>
      </c>
      <c r="B8" s="28">
        <v>24.878254016651486</v>
      </c>
    </row>
    <row r="9" ht="12.75">
      <c r="B9" s="17"/>
    </row>
    <row r="10" spans="1:8" ht="12.75">
      <c r="A10" s="59" t="s">
        <v>67</v>
      </c>
      <c r="B10" s="59"/>
      <c r="C10" s="59"/>
      <c r="D10" s="59"/>
      <c r="E10" s="59"/>
      <c r="F10" s="59"/>
      <c r="G10" s="59"/>
      <c r="H10" s="59"/>
    </row>
    <row r="11" spans="1:8" ht="12.75">
      <c r="A11" s="62" t="s">
        <v>68</v>
      </c>
      <c r="B11" s="62"/>
      <c r="C11" s="62"/>
      <c r="D11" s="62"/>
      <c r="E11" s="62"/>
      <c r="F11" s="62"/>
      <c r="G11" s="62"/>
      <c r="H11" s="62"/>
    </row>
    <row r="12" spans="1:5" ht="12.75">
      <c r="A12" t="s">
        <v>69</v>
      </c>
      <c r="B12" t="s">
        <v>27</v>
      </c>
      <c r="C12" s="27">
        <f>COS(C3*Grad)*COS(B3*Grad)</f>
        <v>0.13049918809598707</v>
      </c>
      <c r="D12" s="27">
        <f>COS(C3*Grad)*SIN(B3*Grad)</f>
        <v>0.682340125072538</v>
      </c>
      <c r="E12" s="27">
        <f>SIN(C3*Grad)</f>
        <v>0.7192926494982981</v>
      </c>
    </row>
    <row r="13" spans="1:5" ht="12.75">
      <c r="A13" t="s">
        <v>70</v>
      </c>
      <c r="B13" t="s">
        <v>28</v>
      </c>
      <c r="C13" s="27">
        <f>COS(C4*Grad)*COS(B4*Grad)</f>
        <v>0.02089022905044427</v>
      </c>
      <c r="D13" s="27">
        <f>COS(C4*Grad)*SIN(B4*Grad)</f>
        <v>0.9914351707189585</v>
      </c>
      <c r="E13" s="27">
        <f>SIN(C4*Grad)</f>
        <v>0.12891819340841496</v>
      </c>
    </row>
    <row r="14" spans="1:5" ht="12.75">
      <c r="A14" t="s">
        <v>71</v>
      </c>
      <c r="B14" t="s">
        <v>29</v>
      </c>
      <c r="C14" s="27">
        <f>COS(B7*Grad)</f>
        <v>0.7641147581071732</v>
      </c>
      <c r="D14" s="27"/>
      <c r="E14" s="27"/>
    </row>
    <row r="15" spans="1:5" ht="12.75">
      <c r="A15" t="s">
        <v>72</v>
      </c>
      <c r="B15" t="s">
        <v>30</v>
      </c>
      <c r="C15" s="27">
        <f>COS(B8*Grad)</f>
        <v>0.907203748473003</v>
      </c>
      <c r="D15" s="27"/>
      <c r="E15" s="27"/>
    </row>
    <row r="16" spans="1:5" ht="12.75">
      <c r="A16" t="s">
        <v>73</v>
      </c>
      <c r="B16" t="s">
        <v>31</v>
      </c>
      <c r="C16" s="27">
        <f>D12*E13-E12*D13</f>
        <v>-0.6251659745378135</v>
      </c>
      <c r="D16" s="27">
        <f>E12*C13-C12*E13</f>
        <v>-0.0017975313682792073</v>
      </c>
      <c r="E16" s="27">
        <f>C12*D13-D12*C13</f>
        <v>0.1151272433255563</v>
      </c>
    </row>
    <row r="17" spans="2:5" ht="12.75">
      <c r="B17" t="s">
        <v>32</v>
      </c>
      <c r="C17" s="27">
        <f>C12*C13+D12*D13+E12*E13</f>
        <v>0.7719520652251821</v>
      </c>
      <c r="D17" s="27"/>
      <c r="E17" s="27"/>
    </row>
    <row r="18" spans="2:5" ht="12.75">
      <c r="B18" t="s">
        <v>33</v>
      </c>
      <c r="C18" s="27">
        <f>1-C17^2</f>
        <v>0.40409000899457614</v>
      </c>
      <c r="D18" s="27"/>
      <c r="E18" s="27"/>
    </row>
    <row r="19" spans="1:5" ht="12.75">
      <c r="A19" t="s">
        <v>74</v>
      </c>
      <c r="B19" t="s">
        <v>34</v>
      </c>
      <c r="C19" s="27">
        <f>(C14-C15*C17)/C18*C12+(C15-C14*C17)/C18*C13</f>
        <v>0.0370086720133523</v>
      </c>
      <c r="D19" s="27">
        <f>(C14-C15*C17)/C18*D12+(C15-C14*C17)/C18*D13</f>
        <v>0.8863297756416462</v>
      </c>
      <c r="E19" s="27">
        <f>(C14-C15*C17)/C18*E12+(C15-C14*C17)/C18*E13</f>
        <v>0.21480378896941626</v>
      </c>
    </row>
    <row r="21" spans="1:4" ht="12.75">
      <c r="A21" t="s">
        <v>83</v>
      </c>
      <c r="B21" t="s">
        <v>22</v>
      </c>
      <c r="C21" t="s">
        <v>35</v>
      </c>
      <c r="D21" t="s">
        <v>36</v>
      </c>
    </row>
    <row r="22" spans="1:4" ht="12.75">
      <c r="A22" t="s">
        <v>75</v>
      </c>
      <c r="B22" s="53">
        <f>C16^2+D16^2+E16^2</f>
        <v>0.4040900089945759</v>
      </c>
      <c r="C22" s="53">
        <f>2*(C16*C19+D16*D19+E16*E19)</f>
        <v>1.3877787807814457E-17</v>
      </c>
      <c r="D22" s="53">
        <f>C19^2+D19^2+E19^2-1</f>
        <v>-0.16690921925121982</v>
      </c>
    </row>
    <row r="23" spans="1:3" ht="12.75">
      <c r="A23" t="s">
        <v>76</v>
      </c>
      <c r="B23" t="s">
        <v>37</v>
      </c>
      <c r="C23" s="27">
        <f>-0.5*C22/B22+SQRT(0.25*C22^2/B22^2-D22/B22)</f>
        <v>0.6426893546748867</v>
      </c>
    </row>
    <row r="24" spans="1:3" ht="12.75">
      <c r="A24" t="s">
        <v>77</v>
      </c>
      <c r="B24" t="s">
        <v>38</v>
      </c>
      <c r="C24" s="27">
        <f>-0.5*C22/B22-SQRT(0.25*C22^2/B22^2-D22/B22)</f>
        <v>-0.6426893546748867</v>
      </c>
    </row>
    <row r="25" spans="3:6" ht="12.75">
      <c r="C25" s="8" t="s">
        <v>19</v>
      </c>
      <c r="D25" s="8" t="s">
        <v>20</v>
      </c>
      <c r="E25" s="8" t="s">
        <v>49</v>
      </c>
      <c r="F25" s="8" t="s">
        <v>21</v>
      </c>
    </row>
    <row r="26" spans="1:6" ht="12.75">
      <c r="A26" t="s">
        <v>78</v>
      </c>
      <c r="B26" t="s">
        <v>39</v>
      </c>
      <c r="C26" s="26">
        <f>C19+C23*C16</f>
        <v>-0.3647788447270518</v>
      </c>
      <c r="D26" s="26">
        <f>D19+C23*D16</f>
        <v>0.8851745213665589</v>
      </c>
      <c r="E26" s="26">
        <f>E19+C23*E16</f>
        <v>0.2887948426878167</v>
      </c>
      <c r="F26" s="26">
        <f>SQRT(C26^2+D26^2)</f>
        <v>0.9573910062440106</v>
      </c>
    </row>
    <row r="27" spans="1:8" ht="12.75">
      <c r="A27" t="s">
        <v>79</v>
      </c>
      <c r="B27" t="s">
        <v>40</v>
      </c>
      <c r="C27" s="26">
        <f>C19+C24*C16</f>
        <v>0.43879618875375637</v>
      </c>
      <c r="D27" s="26">
        <f>D19+C24*D16</f>
        <v>0.8874850299167334</v>
      </c>
      <c r="E27" s="26">
        <f>E19+C24*E16</f>
        <v>0.14081273525101584</v>
      </c>
      <c r="F27" s="26">
        <f>SQRT(C27^2+D27^2)</f>
        <v>0.9900362486248305</v>
      </c>
      <c r="H27" s="5"/>
    </row>
    <row r="28" spans="2:4" ht="12.75">
      <c r="B28" s="8" t="s">
        <v>43</v>
      </c>
      <c r="C28" s="11" t="s">
        <v>44</v>
      </c>
      <c r="D28" s="5"/>
    </row>
    <row r="29" spans="1:10" ht="12.75">
      <c r="A29" s="20" t="s">
        <v>80</v>
      </c>
      <c r="B29" s="18">
        <f>ATAN2(C26,D26)/Grad</f>
        <v>112.39647185656338</v>
      </c>
      <c r="C29" s="18">
        <f>ATAN(E26/F26)/Grad</f>
        <v>16.78581876607675</v>
      </c>
      <c r="D29" s="64" t="s">
        <v>82</v>
      </c>
      <c r="E29" s="64"/>
      <c r="F29" s="64"/>
      <c r="G29" s="64"/>
      <c r="H29" s="64"/>
      <c r="I29" s="64"/>
      <c r="J29" s="64"/>
    </row>
    <row r="30" spans="1:3" ht="12.75">
      <c r="A30" s="20" t="s">
        <v>81</v>
      </c>
      <c r="B30" s="18">
        <f>ATAN2(C27,D27)/Grad</f>
        <v>63.6909846436588</v>
      </c>
      <c r="C30" s="18">
        <f>ATAN(E27/F27)/Grad</f>
        <v>8.094878451281646</v>
      </c>
    </row>
    <row r="31" spans="1:3" ht="12.75">
      <c r="A31" s="5" t="s">
        <v>58</v>
      </c>
      <c r="B31" s="19">
        <v>118.17783333333334</v>
      </c>
      <c r="C31" s="19">
        <v>15.819747222222222</v>
      </c>
    </row>
  </sheetData>
  <mergeCells count="3">
    <mergeCell ref="A10:H10"/>
    <mergeCell ref="A11:H11"/>
    <mergeCell ref="D29:J29"/>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38"/>
  <sheetViews>
    <sheetView tabSelected="1" workbookViewId="0" topLeftCell="A7">
      <selection activeCell="I32" sqref="I32"/>
    </sheetView>
  </sheetViews>
  <sheetFormatPr defaultColWidth="11.421875" defaultRowHeight="12.75"/>
  <cols>
    <col min="1" max="1" width="40.421875" style="0" customWidth="1"/>
    <col min="2" max="2" width="22.140625" style="0" customWidth="1"/>
    <col min="4" max="4" width="16.00390625" style="0" customWidth="1"/>
    <col min="5" max="5" width="18.00390625" style="0" customWidth="1"/>
    <col min="6" max="6" width="12.8515625" style="0" customWidth="1"/>
  </cols>
  <sheetData>
    <row r="1" spans="2:11" ht="12.75">
      <c r="B1" s="30" t="s">
        <v>47</v>
      </c>
      <c r="C1" s="30" t="s">
        <v>48</v>
      </c>
      <c r="D1" s="8" t="s">
        <v>84</v>
      </c>
      <c r="E1" s="8" t="s">
        <v>85</v>
      </c>
      <c r="F1" s="30" t="s">
        <v>43</v>
      </c>
      <c r="G1" s="30" t="s">
        <v>44</v>
      </c>
      <c r="H1" s="30"/>
      <c r="I1" s="8" t="s">
        <v>19</v>
      </c>
      <c r="J1" s="8" t="s">
        <v>20</v>
      </c>
      <c r="K1" s="8" t="s">
        <v>49</v>
      </c>
    </row>
    <row r="2" spans="1:11" ht="12.75">
      <c r="A2">
        <v>1</v>
      </c>
      <c r="B2" s="51">
        <v>42364</v>
      </c>
      <c r="C2" s="52">
        <v>0.8869328703703704</v>
      </c>
      <c r="D2" s="25">
        <f>C2*24</f>
        <v>21.28638888888889</v>
      </c>
      <c r="E2" s="25">
        <f>D2-$D$2</f>
        <v>0</v>
      </c>
      <c r="F2" s="21">
        <v>113.38153061012716</v>
      </c>
      <c r="G2" s="21">
        <v>16.669659689380108</v>
      </c>
      <c r="H2" s="31" t="s">
        <v>141</v>
      </c>
      <c r="I2" s="25">
        <f>COS(G2*Grad)*COS(F2*Grad)</f>
        <v>-0.38017413676653483</v>
      </c>
      <c r="J2" s="25">
        <f>COS(G2*Grad)*SIN(F2*Grad)</f>
        <v>0.8793081506815364</v>
      </c>
      <c r="K2" s="25">
        <f>SIN(G2*Grad)</f>
        <v>0.28685327587259085</v>
      </c>
    </row>
    <row r="3" spans="1:11" ht="12.75">
      <c r="A3">
        <v>2</v>
      </c>
      <c r="B3" s="51">
        <v>42365</v>
      </c>
      <c r="C3" s="52">
        <v>0.2994907407407407</v>
      </c>
      <c r="D3" s="25">
        <f>C3*24</f>
        <v>7.187777777777777</v>
      </c>
      <c r="E3" s="25">
        <f>D3-$D$2+24</f>
        <v>9.901388888888887</v>
      </c>
      <c r="F3" s="21">
        <v>117.87145872353248</v>
      </c>
      <c r="G3" s="21">
        <v>15.844818775780361</v>
      </c>
      <c r="H3" s="31" t="s">
        <v>142</v>
      </c>
      <c r="I3" s="25">
        <f>COS(G3*Grad)*COS(F3*Grad)</f>
        <v>-0.4497271189936656</v>
      </c>
      <c r="J3" s="25">
        <f>COS(G3*Grad)*SIN(F3*Grad)</f>
        <v>0.8504108326530025</v>
      </c>
      <c r="K3" s="25">
        <f>SIN(G3*Grad)</f>
        <v>0.2730328444493161</v>
      </c>
    </row>
    <row r="4" spans="1:11" ht="12.75">
      <c r="A4">
        <v>3</v>
      </c>
      <c r="B4" s="51">
        <v>42365</v>
      </c>
      <c r="C4" s="52">
        <v>0.9249305555555556</v>
      </c>
      <c r="D4" s="25">
        <f>C4*24+24</f>
        <v>46.19833333333334</v>
      </c>
      <c r="E4" s="25">
        <f>D4-$D$2</f>
        <v>24.911944444444448</v>
      </c>
      <c r="F4" s="21">
        <v>127.67202311256533</v>
      </c>
      <c r="G4" s="21">
        <v>14.567059467241707</v>
      </c>
      <c r="H4" s="31" t="s">
        <v>143</v>
      </c>
      <c r="I4" s="25">
        <f>COS(G4*Grad)*COS(F4*Grad)</f>
        <v>-0.5914948527788078</v>
      </c>
      <c r="J4" s="25">
        <f>COS(G4*Grad)*SIN(F4*Grad)</f>
        <v>0.7660777178733679</v>
      </c>
      <c r="K4" s="25">
        <f>SIN(G4*Grad)</f>
        <v>0.2515129605290935</v>
      </c>
    </row>
    <row r="6" spans="1:6" ht="12.75">
      <c r="A6" t="s">
        <v>86</v>
      </c>
      <c r="B6" t="s">
        <v>144</v>
      </c>
      <c r="C6" s="25">
        <f>J2*K4-K2*J4</f>
        <v>0.0014054932503014539</v>
      </c>
      <c r="D6" s="25">
        <f>K2*I4-I2*K4</f>
        <v>-0.0740535135266332</v>
      </c>
      <c r="E6" s="25">
        <f>I2*J4-J2*I4</f>
        <v>0.22886331004599653</v>
      </c>
      <c r="F6" s="25">
        <f>SQRT(C6^2+D6^2+E6^2)</f>
        <v>0.2405500217462593</v>
      </c>
    </row>
    <row r="7" spans="1:6" ht="12.75">
      <c r="A7" t="s">
        <v>87</v>
      </c>
      <c r="B7" t="s">
        <v>145</v>
      </c>
      <c r="C7" s="25">
        <f>C6/$F$6</f>
        <v>0.005842831524596651</v>
      </c>
      <c r="D7" s="25">
        <f>D6/$F$6</f>
        <v>-0.30785078707973457</v>
      </c>
      <c r="E7" s="25">
        <f>E6/$F$6</f>
        <v>0.9514167090261569</v>
      </c>
      <c r="F7" s="25"/>
    </row>
    <row r="8" spans="1:6" ht="12.75">
      <c r="A8" t="s">
        <v>89</v>
      </c>
      <c r="B8" t="s">
        <v>147</v>
      </c>
      <c r="C8" s="25"/>
      <c r="D8" s="25"/>
      <c r="E8" s="25"/>
      <c r="F8" s="25"/>
    </row>
    <row r="9" spans="1:6" ht="12.75">
      <c r="A9" t="s">
        <v>88</v>
      </c>
      <c r="B9" t="s">
        <v>146</v>
      </c>
      <c r="C9" s="25">
        <f>D7*K2-E7*J2</f>
        <v>-0.9248964736950809</v>
      </c>
      <c r="D9" s="25">
        <f>E7*I2-C7*K2</f>
        <v>-0.36338006142247886</v>
      </c>
      <c r="E9" s="25">
        <f>C7*J2-D7*I2</f>
        <v>-0.11189925784829954</v>
      </c>
      <c r="F9" s="25"/>
    </row>
    <row r="10" spans="1:6" ht="12.75">
      <c r="A10" t="s">
        <v>90</v>
      </c>
      <c r="B10" t="s">
        <v>50</v>
      </c>
      <c r="C10" s="25">
        <f>ACOS(I2*I4+J2*J4+K2*K4)/Grad</f>
        <v>13.91900535441003</v>
      </c>
      <c r="D10" s="25"/>
      <c r="E10" s="25"/>
      <c r="F10" s="25"/>
    </row>
    <row r="11" spans="1:6" ht="12.75">
      <c r="A11" t="s">
        <v>91</v>
      </c>
      <c r="B11" t="s">
        <v>148</v>
      </c>
      <c r="C11" s="25">
        <f>C10/E4</f>
        <v>0.5587281789846025</v>
      </c>
      <c r="D11" s="25"/>
      <c r="E11" s="25"/>
      <c r="F11" s="25"/>
    </row>
    <row r="12" spans="2:12" ht="12.75">
      <c r="B12" t="s">
        <v>51</v>
      </c>
      <c r="C12" s="25">
        <f>omegaM*E3</f>
        <v>5.532184983307264</v>
      </c>
      <c r="D12" s="25"/>
      <c r="E12" s="25"/>
      <c r="F12" s="25"/>
      <c r="K12" s="23"/>
      <c r="L12" s="24"/>
    </row>
    <row r="13" spans="2:6" ht="12.75">
      <c r="B13" t="s">
        <v>149</v>
      </c>
      <c r="C13" s="25">
        <f>I2*COS(C12*Grad)</f>
        <v>-0.37840336224742344</v>
      </c>
      <c r="D13" s="25">
        <f>J2*COS(C12*Grad)</f>
        <v>0.8752125105074916</v>
      </c>
      <c r="E13" s="25">
        <f>K2*COS(C12*Grad)</f>
        <v>0.28551717111817737</v>
      </c>
      <c r="F13" s="25"/>
    </row>
    <row r="14" spans="2:6" ht="12.75">
      <c r="B14" t="s">
        <v>150</v>
      </c>
      <c r="C14" s="25">
        <f>C9*SIN(C12*Grad)</f>
        <v>-0.08916453835535182</v>
      </c>
      <c r="D14" s="25">
        <f>D9*SIN(C12*Grad)</f>
        <v>-0.03503161310025334</v>
      </c>
      <c r="E14" s="25">
        <f>E9*SIN(C12*Grad)</f>
        <v>-0.010787635105244725</v>
      </c>
      <c r="F14" s="25"/>
    </row>
    <row r="15" spans="6:7" ht="12.75">
      <c r="F15" s="22" t="s">
        <v>52</v>
      </c>
      <c r="G15" s="22" t="s">
        <v>53</v>
      </c>
    </row>
    <row r="16" spans="1:7" ht="12.75">
      <c r="A16" s="5" t="s">
        <v>160</v>
      </c>
      <c r="B16" s="5" t="s">
        <v>151</v>
      </c>
      <c r="C16" s="25">
        <f>C13+C14</f>
        <v>-0.46756790060277525</v>
      </c>
      <c r="D16" s="25">
        <f>D13+D14</f>
        <v>0.8401808974072382</v>
      </c>
      <c r="E16" s="25">
        <f>E13+E14</f>
        <v>0.27472953601293265</v>
      </c>
      <c r="F16" s="37">
        <f>ATAN2(C16,D16)/Grad</f>
        <v>119.09631429631496</v>
      </c>
      <c r="G16" s="37">
        <f>ATAN(E16/SQRT(C16^2+D16^2))/Grad</f>
        <v>15.94589692862782</v>
      </c>
    </row>
    <row r="17" spans="1:13" ht="12.75">
      <c r="A17" s="5" t="s">
        <v>152</v>
      </c>
      <c r="B17" s="5"/>
      <c r="C17" s="5"/>
      <c r="D17" s="6">
        <f>ACOS(SIN(G3*Grad)*SIN(G16*Grad)+COS(G3*Grad)*COS(G16*Grad)*COS((F3-F16)*Grad))/Grad</f>
        <v>1.1823479889721389</v>
      </c>
      <c r="E17" s="5" t="s">
        <v>55</v>
      </c>
      <c r="L17" s="23"/>
      <c r="M17" s="24"/>
    </row>
    <row r="18" spans="1:13" ht="12.75">
      <c r="A18" s="5"/>
      <c r="B18" s="5"/>
      <c r="C18" s="5"/>
      <c r="D18" s="6">
        <v>1.1415658737861976</v>
      </c>
      <c r="E18" s="5" t="s">
        <v>54</v>
      </c>
      <c r="L18" s="23"/>
      <c r="M18" s="24"/>
    </row>
    <row r="19" spans="1:13" ht="12.75">
      <c r="A19" t="s">
        <v>178</v>
      </c>
      <c r="C19" s="8" t="s">
        <v>96</v>
      </c>
      <c r="D19" s="8" t="s">
        <v>97</v>
      </c>
      <c r="E19" s="8" t="s">
        <v>175</v>
      </c>
      <c r="F19" s="8"/>
      <c r="G19" s="22"/>
      <c r="H19" s="22"/>
      <c r="L19" s="23"/>
      <c r="M19" s="24"/>
    </row>
    <row r="20" spans="3:8" ht="12.75">
      <c r="C20" s="37">
        <f>F2+(F4-F2)/E4*E3</f>
        <v>119.06136519694303</v>
      </c>
      <c r="D20" s="37">
        <f>G2+(G4-G2)/E4*E3</f>
        <v>15.833969704454054</v>
      </c>
      <c r="E20" s="25">
        <f>ACOS(SIN(G3*Grad)*SIN(D20*Grad)+COS(G3*Grad)*COS(D20*Grad)*COS((F3-C20)*Grad))/Grad</f>
        <v>1.1447762626565894</v>
      </c>
      <c r="F20" s="26"/>
      <c r="G20" s="23"/>
      <c r="H20" s="24"/>
    </row>
    <row r="21" spans="3:8" s="14" customFormat="1" ht="5.25" customHeight="1">
      <c r="C21" s="46"/>
      <c r="D21" s="46"/>
      <c r="E21" s="47"/>
      <c r="F21" s="48"/>
      <c r="G21" s="34"/>
      <c r="H21" s="49"/>
    </row>
    <row r="22" spans="1:11" ht="12.75">
      <c r="A22" s="5" t="s">
        <v>179</v>
      </c>
      <c r="B22" s="62" t="s">
        <v>165</v>
      </c>
      <c r="C22" s="62"/>
      <c r="D22" s="65" t="s">
        <v>166</v>
      </c>
      <c r="E22" s="65"/>
      <c r="F22" s="65"/>
      <c r="G22" s="65"/>
      <c r="H22" s="65"/>
      <c r="I22" s="62" t="s">
        <v>167</v>
      </c>
      <c r="J22" s="62"/>
      <c r="K22" s="62"/>
    </row>
    <row r="23" spans="1:8" ht="12.75">
      <c r="A23" t="s">
        <v>159</v>
      </c>
      <c r="B23" s="8" t="s">
        <v>93</v>
      </c>
      <c r="C23" s="4" t="s">
        <v>94</v>
      </c>
      <c r="D23" t="s">
        <v>163</v>
      </c>
      <c r="E23" t="s">
        <v>164</v>
      </c>
      <c r="F23" s="8" t="s">
        <v>19</v>
      </c>
      <c r="G23" s="8" t="s">
        <v>20</v>
      </c>
      <c r="H23" s="8" t="s">
        <v>49</v>
      </c>
    </row>
    <row r="24" spans="1:11" ht="12.75">
      <c r="A24" t="s">
        <v>161</v>
      </c>
      <c r="B24" s="25">
        <f>geogrBreite</f>
        <v>48.93333333333333</v>
      </c>
      <c r="C24" s="25">
        <f>geogrLaenge</f>
        <v>8.95</v>
      </c>
      <c r="D24" s="50">
        <f>(13+(8+46.05/60)/60)*15</f>
        <v>197.19187499999998</v>
      </c>
      <c r="E24" s="25">
        <f>B24</f>
        <v>48.93333333333333</v>
      </c>
      <c r="F24" s="26">
        <f>COS(D24*Grad)*COS(E24*Grad)</f>
        <v>-0.627584984171512</v>
      </c>
      <c r="G24" s="26">
        <f>SIN(D24*Grad)*COS(E24*Grad)</f>
        <v>-0.19417248456216615</v>
      </c>
      <c r="H24" s="26">
        <f>SIN(E24*Grad)</f>
        <v>0.7539457101684434</v>
      </c>
      <c r="I24" s="26">
        <f>COS(F3*Grad)*COS(G3*Grad)</f>
        <v>-0.4497271189936656</v>
      </c>
      <c r="J24" s="26">
        <f>SIN(F3*Grad)*COS(G3*Grad)</f>
        <v>0.8504108326530025</v>
      </c>
      <c r="K24" s="26">
        <f>SIN(G3*Grad)</f>
        <v>0.2730328444493161</v>
      </c>
    </row>
    <row r="25" spans="1:11" ht="12.75">
      <c r="A25" t="s">
        <v>162</v>
      </c>
      <c r="B25" s="25">
        <f>geogrBreite</f>
        <v>48.93333333333333</v>
      </c>
      <c r="C25" s="25">
        <f>Bezugssterne!M16-E3*omegaE</f>
        <v>-139.98454038997212</v>
      </c>
      <c r="D25" s="50">
        <f>(3+(13+1.723/60)/60)*15</f>
        <v>48.25717916666667</v>
      </c>
      <c r="E25" s="25">
        <f>B25</f>
        <v>48.93333333333333</v>
      </c>
      <c r="F25" s="26">
        <f>COS(D25*Grad)*COS(E25*Grad)</f>
        <v>0.4373807090937822</v>
      </c>
      <c r="G25" s="26">
        <f>SIN(D25*Grad)*COS(E25*Grad)</f>
        <v>0.4901672994307372</v>
      </c>
      <c r="H25" s="26">
        <f>SIN(E25*Grad)</f>
        <v>0.7539457101684434</v>
      </c>
      <c r="I25" s="26">
        <f>COS(F16*Grad)*COS(G16*Grad)</f>
        <v>-0.4675679006027751</v>
      </c>
      <c r="J25" s="26">
        <f>SIN(F16*Grad)*COS(G16*Grad)</f>
        <v>0.8401808974072383</v>
      </c>
      <c r="K25" s="26">
        <f>SIN(G16*Grad)</f>
        <v>0.2747295360129326</v>
      </c>
    </row>
    <row r="26" spans="1:11" ht="12.75">
      <c r="A26" t="s">
        <v>106</v>
      </c>
      <c r="I26" s="62" t="s">
        <v>95</v>
      </c>
      <c r="J26" s="62"/>
      <c r="K26" s="62"/>
    </row>
    <row r="27" spans="1:12" ht="12.75">
      <c r="A27" t="s">
        <v>170</v>
      </c>
      <c r="B27" s="25">
        <f>F25-F24</f>
        <v>1.0649656932652942</v>
      </c>
      <c r="C27" s="25">
        <f>G25-G24</f>
        <v>0.6843397839929034</v>
      </c>
      <c r="D27" s="25">
        <f>H25-H24</f>
        <v>0</v>
      </c>
      <c r="E27" s="67">
        <f>SQRT(B27^2+C27^2+D27^2)</f>
        <v>1.2658881734922254</v>
      </c>
      <c r="I27" s="26">
        <f>COS(C20*Grad)*COS(D20*Grad)</f>
        <v>-0.46731512343853854</v>
      </c>
      <c r="J27" s="26">
        <f>SIN(C20*Grad)*COS(D20*Grad)</f>
        <v>0.840933457964602</v>
      </c>
      <c r="K27" s="26">
        <f>SIN(D20*Grad)</f>
        <v>0.272850682024657</v>
      </c>
      <c r="L27" s="67"/>
    </row>
    <row r="28" spans="1:4" ht="12.75">
      <c r="A28" t="s">
        <v>171</v>
      </c>
      <c r="B28" s="25">
        <f>SQRT(B27^2+C27^2+D27^2)</f>
        <v>1.2658881734922254</v>
      </c>
      <c r="C28" s="25"/>
      <c r="D28" s="25"/>
    </row>
    <row r="29" spans="1:9" ht="12.75">
      <c r="A29" t="s">
        <v>169</v>
      </c>
      <c r="B29" s="25">
        <f>ACOS(I24*I25+J24*J25+K24*K25)/Grad</f>
        <v>1.1823479889715154</v>
      </c>
      <c r="C29" s="25"/>
      <c r="D29" s="25"/>
      <c r="I29" s="25">
        <f>ACOS(I24*I27+J24*J27+K24*K27)/Grad</f>
        <v>1.1447762626559532</v>
      </c>
    </row>
    <row r="30" spans="1:4" ht="12.75">
      <c r="A30" t="s">
        <v>168</v>
      </c>
      <c r="B30" s="25">
        <f>ACOS((B27*I24+C27*J24+D27*K24)/E27)/Grad</f>
        <v>85.33174262669655</v>
      </c>
      <c r="C30" s="25"/>
      <c r="D30" s="25"/>
    </row>
    <row r="31" spans="1:4" ht="12.75">
      <c r="A31" t="s">
        <v>172</v>
      </c>
      <c r="B31" s="25">
        <f>B28*SIN(B30*Grad)</f>
        <v>1.2616887526419955</v>
      </c>
      <c r="C31" s="25"/>
      <c r="D31" s="25"/>
    </row>
    <row r="32" spans="1:9" ht="12.75">
      <c r="A32" s="20" t="s">
        <v>174</v>
      </c>
      <c r="B32" s="23">
        <f>B31/(B29*Grad)</f>
        <v>61.140578966429146</v>
      </c>
      <c r="C32" s="25"/>
      <c r="D32" s="25"/>
      <c r="I32" s="23">
        <f>B31/(I29*Grad)</f>
        <v>63.147221814152196</v>
      </c>
    </row>
    <row r="33" spans="1:9" ht="12.75">
      <c r="A33" s="20" t="s">
        <v>173</v>
      </c>
      <c r="B33" s="39">
        <f>ROUND(B32*6370/1000,0)*1000</f>
        <v>389000</v>
      </c>
      <c r="C33" s="25"/>
      <c r="D33" s="25"/>
      <c r="I33" s="39">
        <f>ROUND(I32*6370/1000,0)*1000</f>
        <v>402000</v>
      </c>
    </row>
    <row r="34" spans="1:9" ht="12.75">
      <c r="A34" t="s">
        <v>176</v>
      </c>
      <c r="B34" s="39"/>
      <c r="C34" s="25"/>
      <c r="D34" s="25"/>
      <c r="I34" s="39"/>
    </row>
    <row r="35" spans="1:2" ht="12.75">
      <c r="A35" s="43" t="s">
        <v>174</v>
      </c>
      <c r="B35" s="44">
        <v>63.17010303107387</v>
      </c>
    </row>
    <row r="36" spans="1:2" ht="12.75">
      <c r="A36" s="43" t="s">
        <v>173</v>
      </c>
      <c r="B36" s="45">
        <v>402000</v>
      </c>
    </row>
    <row r="37" spans="1:2" ht="12.75">
      <c r="A37" s="40" t="s">
        <v>177</v>
      </c>
      <c r="B37" s="41">
        <f>B38/6370</f>
        <v>59.96342229199372</v>
      </c>
    </row>
    <row r="38" spans="1:2" ht="12.75">
      <c r="A38" s="40"/>
      <c r="B38" s="42">
        <v>381967</v>
      </c>
    </row>
  </sheetData>
  <mergeCells count="4">
    <mergeCell ref="I26:K26"/>
    <mergeCell ref="B22:C22"/>
    <mergeCell ref="D22:H22"/>
    <mergeCell ref="I22:K22"/>
  </mergeCells>
  <printOptions/>
  <pageMargins left="0.75" right="0.75" top="1" bottom="1"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29"/>
  <sheetViews>
    <sheetView workbookViewId="0" topLeftCell="A1">
      <selection activeCell="G27" sqref="G27"/>
    </sheetView>
  </sheetViews>
  <sheetFormatPr defaultColWidth="11.421875" defaultRowHeight="12.75"/>
  <cols>
    <col min="1" max="1" width="14.57421875" style="0" customWidth="1"/>
    <col min="5" max="5" width="14.28125" style="0" customWidth="1"/>
    <col min="12" max="12" width="13.00390625" style="0" customWidth="1"/>
  </cols>
  <sheetData>
    <row r="1" ht="12.75">
      <c r="A1" s="33">
        <v>0.2994907407407407</v>
      </c>
    </row>
    <row r="2" spans="2:14" ht="12.75">
      <c r="B2" t="s">
        <v>93</v>
      </c>
      <c r="C2" t="s">
        <v>94</v>
      </c>
      <c r="D2" t="s">
        <v>114</v>
      </c>
      <c r="E2" s="62" t="s">
        <v>115</v>
      </c>
      <c r="F2" s="62"/>
      <c r="G2" s="62"/>
      <c r="H2" s="62"/>
      <c r="I2" t="s">
        <v>116</v>
      </c>
      <c r="J2" t="s">
        <v>117</v>
      </c>
      <c r="K2" s="62" t="s">
        <v>118</v>
      </c>
      <c r="L2" s="62"/>
      <c r="M2" s="62"/>
      <c r="N2" s="62"/>
    </row>
    <row r="3" spans="1:14" ht="12.75">
      <c r="A3" t="s">
        <v>113</v>
      </c>
      <c r="B3" s="26">
        <f>geogrBreite</f>
        <v>48.93333333333333</v>
      </c>
      <c r="C3" s="26">
        <f>geogrLaenge</f>
        <v>8.95</v>
      </c>
      <c r="D3" s="35">
        <f>Interpolation!D24</f>
        <v>197.19187499999998</v>
      </c>
      <c r="E3" s="8" t="s">
        <v>39</v>
      </c>
      <c r="F3" s="26">
        <f>COS(D3*Grad)*COS(B3*Grad)</f>
        <v>-0.627584984171512</v>
      </c>
      <c r="G3" s="26">
        <f>SIN(D3*Grad)*COS(B3*Grad)</f>
        <v>-0.19417248456216615</v>
      </c>
      <c r="H3" s="26">
        <f>SIN(B3*Grad)</f>
        <v>0.7539457101684434</v>
      </c>
      <c r="I3" s="50">
        <v>117.87145872353248</v>
      </c>
      <c r="J3" s="50">
        <v>15.844818775780361</v>
      </c>
      <c r="K3" s="8" t="s">
        <v>153</v>
      </c>
      <c r="L3" s="26">
        <f>COS(I3*Grad)*COS(J3*Grad)</f>
        <v>-0.4497271189936656</v>
      </c>
      <c r="M3" s="26">
        <f>SIN(I3*Grad)*COS(J3*Grad)</f>
        <v>0.8504108326530025</v>
      </c>
      <c r="N3" s="26">
        <f>SIN(J3*Grad)</f>
        <v>0.2730328444493161</v>
      </c>
    </row>
    <row r="4" spans="1:14" ht="12.75">
      <c r="A4" t="s">
        <v>119</v>
      </c>
      <c r="B4" s="26">
        <f>geogrBreite</f>
        <v>48.93333333333333</v>
      </c>
      <c r="C4" s="26">
        <f>Interpolation!C25</f>
        <v>-139.98454038997212</v>
      </c>
      <c r="D4" s="35">
        <f>Interpolation!D25</f>
        <v>48.25717916666667</v>
      </c>
      <c r="E4" s="8" t="s">
        <v>40</v>
      </c>
      <c r="F4" s="26">
        <f>COS(D4*Grad)*COS(B4*Grad)</f>
        <v>0.4373807090937822</v>
      </c>
      <c r="G4" s="26">
        <f>SIN(D4*Grad)*COS(B4*Grad)</f>
        <v>0.4901672994307372</v>
      </c>
      <c r="H4" s="26">
        <f>SIN(B4*Grad)</f>
        <v>0.7539457101684434</v>
      </c>
      <c r="I4" s="50">
        <v>119.09631429631496</v>
      </c>
      <c r="J4" s="50">
        <v>15.94589692862782</v>
      </c>
      <c r="K4" s="8" t="s">
        <v>154</v>
      </c>
      <c r="L4" s="26">
        <f>COS(I4*Grad)*COS(J4*Grad)</f>
        <v>-0.4675679006027751</v>
      </c>
      <c r="M4" s="26">
        <f>SIN(I4*Grad)*COS(J4*Grad)</f>
        <v>0.8401808974072383</v>
      </c>
      <c r="N4" s="26">
        <f>SIN(J4*Grad)</f>
        <v>0.2747295360129326</v>
      </c>
    </row>
    <row r="6" spans="1:6" ht="12.75">
      <c r="A6" t="s">
        <v>120</v>
      </c>
      <c r="B6" s="4">
        <f>F4-F3</f>
        <v>1.0649656932652942</v>
      </c>
      <c r="C6" s="4">
        <f>G4-G3</f>
        <v>0.6843397839929034</v>
      </c>
      <c r="D6" s="4">
        <f>H4-H3</f>
        <v>0</v>
      </c>
      <c r="E6" s="7" t="s">
        <v>181</v>
      </c>
      <c r="F6" s="4">
        <f>SQRT(B6^2+C6^2+D6^2)</f>
        <v>1.2658881734922254</v>
      </c>
    </row>
    <row r="7" spans="1:4" ht="12.75">
      <c r="A7" t="s">
        <v>121</v>
      </c>
      <c r="B7" s="4">
        <f>L3-L4</f>
        <v>0.017840781609109513</v>
      </c>
      <c r="C7" s="4">
        <f>M3-M4</f>
        <v>0.01022993524576421</v>
      </c>
      <c r="D7" s="4">
        <f>N3-N4</f>
        <v>-0.0016966915636165147</v>
      </c>
    </row>
    <row r="8" spans="1:4" ht="12.75">
      <c r="A8" t="s">
        <v>122</v>
      </c>
      <c r="B8" s="4">
        <f>L3+L4</f>
        <v>-0.9172950195964407</v>
      </c>
      <c r="C8" s="4">
        <f>M3+M4</f>
        <v>1.6905917300602409</v>
      </c>
      <c r="D8" s="4">
        <f>N3+N4</f>
        <v>0.5477623804622487</v>
      </c>
    </row>
    <row r="9" spans="1:6" ht="12.75">
      <c r="A9" t="s">
        <v>123</v>
      </c>
      <c r="B9" s="4">
        <f>L3*L4+M3*M4+N3*N4</f>
        <v>0.9997870880870909</v>
      </c>
      <c r="C9" s="4"/>
      <c r="D9" s="4"/>
      <c r="E9" s="7" t="s">
        <v>155</v>
      </c>
      <c r="F9" s="4">
        <f>ACOS(B9)/Grad</f>
        <v>1.1823479889715154</v>
      </c>
    </row>
    <row r="10" spans="1:4" ht="12.75">
      <c r="A10" t="s">
        <v>126</v>
      </c>
      <c r="B10" s="4">
        <f>B6*B7+C6*C7+D6*D7</f>
        <v>0.02600057203108769</v>
      </c>
      <c r="C10" s="4"/>
      <c r="D10" s="4"/>
    </row>
    <row r="11" spans="1:4" ht="12.75">
      <c r="A11" t="s">
        <v>127</v>
      </c>
      <c r="B11" s="4">
        <f>B6*B8+C6*C8+D6*D8</f>
        <v>0.1800514528962891</v>
      </c>
      <c r="C11" s="4"/>
      <c r="D11" s="4"/>
    </row>
    <row r="12" spans="1:4" ht="12.75">
      <c r="A12" t="s">
        <v>124</v>
      </c>
      <c r="B12" s="4">
        <f>B10/(1-B9)</f>
        <v>122.11891610871346</v>
      </c>
      <c r="C12" s="4"/>
      <c r="D12" s="4"/>
    </row>
    <row r="13" spans="1:4" ht="12.75">
      <c r="A13" t="s">
        <v>125</v>
      </c>
      <c r="B13" s="4">
        <f>B11/(1+B9)</f>
        <v>0.09003531124331764</v>
      </c>
      <c r="C13" s="4"/>
      <c r="D13" s="4"/>
    </row>
    <row r="14" spans="1:4" ht="12.75">
      <c r="A14" t="s">
        <v>128</v>
      </c>
      <c r="B14" s="9">
        <f>0.5*(B12+B13)</f>
        <v>61.10447570997839</v>
      </c>
      <c r="C14" s="4"/>
      <c r="D14" s="4"/>
    </row>
    <row r="15" spans="1:4" ht="12.75">
      <c r="A15" t="s">
        <v>129</v>
      </c>
      <c r="B15" s="9">
        <f>0.5*(B12-B13)</f>
        <v>61.014440398735076</v>
      </c>
      <c r="C15" s="4"/>
      <c r="D15" s="4"/>
    </row>
    <row r="16" spans="1:4" ht="12.75">
      <c r="A16" t="s">
        <v>133</v>
      </c>
      <c r="B16" s="9">
        <f>$B$14*L3</f>
        <v>-27.480339818666998</v>
      </c>
      <c r="C16" s="9">
        <f>$B$14*M3</f>
        <v>51.96390806734789</v>
      </c>
      <c r="D16" s="9">
        <f>$B$14*N3</f>
        <v>16.68352881167954</v>
      </c>
    </row>
    <row r="17" spans="1:14" ht="12.75">
      <c r="A17" t="s">
        <v>134</v>
      </c>
      <c r="B17" s="9">
        <f>F3+B16</f>
        <v>-28.10792480283851</v>
      </c>
      <c r="C17" s="9">
        <f>G3+C16</f>
        <v>51.76973558278572</v>
      </c>
      <c r="D17" s="9">
        <f>H3+D16</f>
        <v>17.437474521847985</v>
      </c>
      <c r="E17" s="36">
        <f>SQRT(B17^2+C17^2+D17^2)</f>
        <v>61.434733471658134</v>
      </c>
      <c r="K17" s="5"/>
      <c r="L17" s="5"/>
      <c r="M17" s="22" t="s">
        <v>157</v>
      </c>
      <c r="N17" s="22" t="s">
        <v>158</v>
      </c>
    </row>
    <row r="18" spans="1:14" ht="12.75">
      <c r="A18" t="s">
        <v>135</v>
      </c>
      <c r="B18" s="4">
        <f>$B$15*L4</f>
        <v>-28.528393803689706</v>
      </c>
      <c r="C18" s="4">
        <f>$B$15*M4</f>
        <v>51.263167289009694</v>
      </c>
      <c r="D18" s="4">
        <f>$B$15*N4</f>
        <v>16.762468900833216</v>
      </c>
      <c r="E18" s="3"/>
      <c r="F18" s="7"/>
      <c r="G18" s="38"/>
      <c r="I18" s="66" t="s">
        <v>156</v>
      </c>
      <c r="J18" s="66"/>
      <c r="K18" s="5" t="s">
        <v>137</v>
      </c>
      <c r="L18" s="5"/>
      <c r="M18" s="22">
        <v>60.2</v>
      </c>
      <c r="N18" s="24">
        <f>ROUND(M18*6370/1000,0)*1000</f>
        <v>383000</v>
      </c>
    </row>
    <row r="19" spans="1:14" ht="12.75">
      <c r="A19" t="s">
        <v>136</v>
      </c>
      <c r="B19" s="4">
        <f>F4+B18</f>
        <v>-28.091013094595922</v>
      </c>
      <c r="C19" s="4">
        <f>G4+C18</f>
        <v>51.75333458844043</v>
      </c>
      <c r="D19" s="4">
        <f>H4+D18</f>
        <v>17.51641461100166</v>
      </c>
      <c r="E19" s="36">
        <f>SQRT(B19^2+C19^2+D19^2)</f>
        <v>61.43563655182826</v>
      </c>
      <c r="I19" s="66"/>
      <c r="J19" s="66"/>
      <c r="K19" s="5" t="s">
        <v>138</v>
      </c>
      <c r="L19" s="5"/>
      <c r="M19" s="22">
        <v>61.4</v>
      </c>
      <c r="N19" s="24">
        <f>ROUND(M19*6370/1000,0)*1000</f>
        <v>391000</v>
      </c>
    </row>
    <row r="21" spans="1:12" ht="12.75">
      <c r="A21" s="57" t="s">
        <v>130</v>
      </c>
      <c r="B21" s="57"/>
      <c r="C21" s="57"/>
      <c r="D21" s="57"/>
      <c r="E21" s="57"/>
      <c r="F21" s="57"/>
      <c r="G21" s="57"/>
      <c r="H21" s="57"/>
      <c r="I21" s="57"/>
      <c r="J21" s="57"/>
      <c r="K21" s="57"/>
      <c r="L21" s="57"/>
    </row>
    <row r="22" spans="1:12" ht="12.75">
      <c r="A22" s="57" t="s">
        <v>140</v>
      </c>
      <c r="B22" s="57"/>
      <c r="C22" s="57"/>
      <c r="D22" s="57"/>
      <c r="E22" s="57"/>
      <c r="F22" s="57"/>
      <c r="G22" s="57"/>
      <c r="H22" s="57"/>
      <c r="I22" s="57"/>
      <c r="J22" s="57"/>
      <c r="K22" s="57"/>
      <c r="L22" s="57"/>
    </row>
    <row r="24" ht="12.75">
      <c r="H24" t="s">
        <v>139</v>
      </c>
    </row>
    <row r="25" spans="1:6" ht="12.75">
      <c r="A25" t="s">
        <v>131</v>
      </c>
      <c r="B25">
        <v>7</v>
      </c>
      <c r="C25">
        <v>51</v>
      </c>
      <c r="D25">
        <v>47.58</v>
      </c>
      <c r="E25" s="26">
        <f>(B25+(C25+D25/60)/60)*15</f>
        <v>117.94825</v>
      </c>
      <c r="F25" t="s">
        <v>52</v>
      </c>
    </row>
    <row r="26" spans="2:6" ht="12.75">
      <c r="B26">
        <v>15</v>
      </c>
      <c r="C26">
        <v>51</v>
      </c>
      <c r="D26">
        <v>49.79</v>
      </c>
      <c r="E26" s="26">
        <f>B26+(C26+D26/60)/60</f>
        <v>15.863830555555555</v>
      </c>
      <c r="F26" t="s">
        <v>53</v>
      </c>
    </row>
    <row r="27" ht="12.75">
      <c r="E27" s="26"/>
    </row>
    <row r="28" spans="1:6" ht="12.75">
      <c r="A28" t="s">
        <v>132</v>
      </c>
      <c r="B28">
        <v>7</v>
      </c>
      <c r="C28">
        <v>56</v>
      </c>
      <c r="D28">
        <v>49.86</v>
      </c>
      <c r="E28" s="26">
        <f>(B28+(C28+D28/60)/60)*15</f>
        <v>119.20775</v>
      </c>
      <c r="F28" t="s">
        <v>52</v>
      </c>
    </row>
    <row r="29" spans="2:6" ht="12.75">
      <c r="B29">
        <v>15</v>
      </c>
      <c r="C29">
        <v>53</v>
      </c>
      <c r="D29">
        <v>17.36</v>
      </c>
      <c r="E29" s="26">
        <f>B29+(C29+D29/60)/60</f>
        <v>15.888155555555555</v>
      </c>
      <c r="F29" t="s">
        <v>53</v>
      </c>
    </row>
  </sheetData>
  <mergeCells count="5">
    <mergeCell ref="A21:L21"/>
    <mergeCell ref="A22:L22"/>
    <mergeCell ref="I18:J19"/>
    <mergeCell ref="K2:N2"/>
    <mergeCell ref="E2:H2"/>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Universität Duisburg-Essen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Udo</dc:creator>
  <cp:keywords/>
  <dc:description/>
  <cp:lastModifiedBy>Udo</cp:lastModifiedBy>
  <dcterms:created xsi:type="dcterms:W3CDTF">2015-12-28T11:51:28Z</dcterms:created>
  <dcterms:modified xsi:type="dcterms:W3CDTF">2016-01-20T21:15:37Z</dcterms:modified>
  <cp:category/>
  <cp:version/>
  <cp:contentType/>
  <cp:contentStatus/>
</cp:coreProperties>
</file>