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9875" windowHeight="8475" activeTab="2"/>
  </bookViews>
  <sheets>
    <sheet name="Einführung" sheetId="1" r:id="rId1"/>
    <sheet name="Messwerte" sheetId="2" r:id="rId2"/>
    <sheet name="Rechnung" sheetId="3" r:id="rId3"/>
    <sheet name="jul. Datum" sheetId="4" r:id="rId4"/>
  </sheets>
  <definedNames>
    <definedName name="a">'jul. Datum'!$B$19</definedName>
    <definedName name="AE">'Rechnung'!$N$5</definedName>
    <definedName name="alpha">'Messwerte'!$A$5</definedName>
    <definedName name="b">'jul. Datum'!$B$20</definedName>
    <definedName name="b0">'jul. Datum'!$B$17</definedName>
    <definedName name="date">'jul. Datum'!$B$5</definedName>
    <definedName name="Datum1">'Messwerte'!$B$6</definedName>
    <definedName name="Datum2">'Messwerte'!$B$14</definedName>
    <definedName name="Datum3">'Messwerte'!$B$23</definedName>
    <definedName name="day">'jul. Datum'!$B$9</definedName>
    <definedName name="days">'jul. Datum'!$B$13</definedName>
    <definedName name="Dekl1">'Messwerte'!$D$10</definedName>
    <definedName name="Dekl2">'Messwerte'!$D$19</definedName>
    <definedName name="Dekl3">'Messwerte'!$D$27</definedName>
    <definedName name="DeklT1">'Messwerte'!$D$11</definedName>
    <definedName name="DeklT2">'Messwerte'!$D$20</definedName>
    <definedName name="DeklT3">'Messwerte'!$D$28</definedName>
    <definedName name="deltat">'jul. Datum'!$B$26</definedName>
    <definedName name="geogrBreite">'Messwerte'!$B$2</definedName>
    <definedName name="geogrLaenge">'Messwerte'!$C$2</definedName>
    <definedName name="Grad">'Rechnung'!$N$3</definedName>
    <definedName name="hours">'jul. Datum'!$B$10</definedName>
    <definedName name="jd">'jul. Datum'!$B$22</definedName>
    <definedName name="kk">'jul. Datum'!$B$16</definedName>
    <definedName name="lst">'jul. Datum'!$B$24</definedName>
    <definedName name="lst2">'Messwerte'!$B$16</definedName>
    <definedName name="minutes">'jul. Datum'!$B$11</definedName>
    <definedName name="moffset">'jul. Datum'!$B$15</definedName>
    <definedName name="month">'jul. Datum'!$B$8</definedName>
    <definedName name="Name">'Messwerte'!$B$3</definedName>
    <definedName name="Ort">'Messwerte'!$A$2</definedName>
    <definedName name="piS">'Rechnung'!$N$6</definedName>
    <definedName name="RE">'Rechnung'!$N$4</definedName>
    <definedName name="Rekt1">'Messwerte'!$C$10</definedName>
    <definedName name="Rekt2">'Messwerte'!$C$19</definedName>
    <definedName name="Rekt3">'Messwerte'!$C$27</definedName>
    <definedName name="RektT1">'Messwerte'!$C$11</definedName>
    <definedName name="RektT2">'Messwerte'!$C$20</definedName>
    <definedName name="RektT3">'Messwerte'!$C$28</definedName>
    <definedName name="seconds">'jul. Datum'!$B$12</definedName>
    <definedName name="STdurchUT">'Rechnung'!$N$7</definedName>
    <definedName name="TE">'Rechnung'!$N$8</definedName>
    <definedName name="time">'jul. Datum'!$B$6</definedName>
    <definedName name="UT1">'Messwerte'!$B$7</definedName>
    <definedName name="UT2">'Messwerte'!$B$15</definedName>
    <definedName name="UT3">'Messwerte'!$B$24</definedName>
    <definedName name="year">'jul. Datum'!$B$7</definedName>
    <definedName name="yoffset">'jul. Datum'!$B$18</definedName>
  </definedNames>
  <calcPr fullCalcOnLoad="1"/>
</workbook>
</file>

<file path=xl/sharedStrings.xml><?xml version="1.0" encoding="utf-8"?>
<sst xmlns="http://schemas.openxmlformats.org/spreadsheetml/2006/main" count="163" uniqueCount="133">
  <si>
    <t>Grad</t>
  </si>
  <si>
    <t>x</t>
  </si>
  <si>
    <t>y</t>
  </si>
  <si>
    <t>r1</t>
  </si>
  <si>
    <t>r2</t>
  </si>
  <si>
    <t>Rekt.</t>
  </si>
  <si>
    <t>Dekl.</t>
  </si>
  <si>
    <t>Datum</t>
  </si>
  <si>
    <t>Uhrzeit</t>
  </si>
  <si>
    <t>z</t>
  </si>
  <si>
    <t>r1 x r3</t>
  </si>
  <si>
    <t>a = e(r1 x r3)</t>
  </si>
  <si>
    <t>b = a x r1</t>
  </si>
  <si>
    <t>omega</t>
  </si>
  <si>
    <t>phi(t3)</t>
  </si>
  <si>
    <t>phi(t2)</t>
  </si>
  <si>
    <t>r1*cos(phi(t2))</t>
  </si>
  <si>
    <t>b*sin(phi(t2))</t>
  </si>
  <si>
    <t>r2gem</t>
  </si>
  <si>
    <t>Rekt</t>
  </si>
  <si>
    <t>Dekl</t>
  </si>
  <si>
    <t>(mit theor. Positionen)</t>
  </si>
  <si>
    <t>(mit gemessenen Positionen)</t>
  </si>
  <si>
    <t>t in h</t>
  </si>
  <si>
    <t>delta t in h</t>
  </si>
  <si>
    <t>r3</t>
  </si>
  <si>
    <t>Einheitsvektor der Ebenennormalen</t>
  </si>
  <si>
    <t>2. Vektor der Orthonormalbasis der Bahnebene</t>
  </si>
  <si>
    <t>1. Vektor der Orthonormalbasis der Bahnebene</t>
  </si>
  <si>
    <t>mittlere Winkelgeschwindigkeit in Grad/h</t>
  </si>
  <si>
    <t>geogr. Breite</t>
  </si>
  <si>
    <t>geogr. Länge</t>
  </si>
  <si>
    <t>lineare Rechnung</t>
  </si>
  <si>
    <t>Beobachtungsort</t>
  </si>
  <si>
    <t>Kurzanleitung</t>
  </si>
  <si>
    <t>Monet South</t>
  </si>
  <si>
    <t>gemessene Position</t>
  </si>
  <si>
    <t>Rekt. in Grad</t>
  </si>
  <si>
    <t>Dekl. in Grad</t>
  </si>
  <si>
    <t>phi</t>
  </si>
  <si>
    <t>Parallaxe in "</t>
  </si>
  <si>
    <t>Parallaxeneffekt in Rektaszension (in "):</t>
  </si>
  <si>
    <t>dKP/rE</t>
  </si>
  <si>
    <t>dKP in km</t>
  </si>
  <si>
    <t>Projektionswinkel in Grad</t>
  </si>
  <si>
    <t>projizierte Basislänge/rE</t>
  </si>
  <si>
    <t>Verbindungsvektor/rE</t>
  </si>
  <si>
    <t>theoretische Position</t>
  </si>
  <si>
    <t>Messung 1</t>
  </si>
  <si>
    <t>Datum 1</t>
  </si>
  <si>
    <t>Uhrzeit 1 (UT1)</t>
  </si>
  <si>
    <t>Rekt. in h</t>
  </si>
  <si>
    <t>Datum 2</t>
  </si>
  <si>
    <t>Messung 2</t>
  </si>
  <si>
    <t>Messung 3</t>
  </si>
  <si>
    <t>Uhrzeit 2 (UT2)</t>
  </si>
  <si>
    <t>Datum 3</t>
  </si>
  <si>
    <t>Uhrzeit 3 (UT3)</t>
  </si>
  <si>
    <t>Sternzeit</t>
  </si>
  <si>
    <t>Name des Kleinplaneten</t>
  </si>
  <si>
    <t>Normale auf der Bahnebene</t>
  </si>
  <si>
    <t>am Ort des virtuellen Beobachters</t>
  </si>
  <si>
    <t>virtueller Beobachter</t>
  </si>
  <si>
    <t>gemessen</t>
  </si>
  <si>
    <t>Referenz</t>
  </si>
  <si>
    <t>"</t>
  </si>
  <si>
    <t>AE</t>
  </si>
  <si>
    <t>"/min</t>
  </si>
  <si>
    <t>Eigenbewegung</t>
  </si>
  <si>
    <t>Äquatoriale Koordinaten</t>
  </si>
  <si>
    <t>der Beobachtungsorte zur Zeit t2</t>
  </si>
  <si>
    <t>dKP/AE</t>
  </si>
  <si>
    <t>km</t>
  </si>
  <si>
    <t>1. Im Tabellenblatt "Messwerte" müssen in den gelb unterlegten Feldern der Name des Kleinplaneten, die Position des Teleskops, die Beobachtungszeitpunkte und die auf den Fotos gemessenen Positionen des Kleinplaneten (entsprechend dem Ausgabeformat von AstroImageJ) eingetragen werden. Die hellblau unterlegten Felder müssen nur ausgefüllt werden, wenn Messungen und Auswertung mit theoretischen Werten verglichen werden sollen.</t>
  </si>
  <si>
    <t>Ergebnis der linearen Interpolation:</t>
  </si>
  <si>
    <t>Based on Numerical Recipes algorithm</t>
  </si>
  <si>
    <t>DO NOT ENTER THE DATE OR TIME HERE - ONLY DO SO IN THE "Visibility" SHEET!!!</t>
  </si>
  <si>
    <t>Quantity</t>
  </si>
  <si>
    <t>Value</t>
  </si>
  <si>
    <t>Unit</t>
  </si>
  <si>
    <t>Name</t>
  </si>
  <si>
    <t>Date:</t>
  </si>
  <si>
    <t xml:space="preserve"> dd-mmm-yyyy</t>
  </si>
  <si>
    <t xml:space="preserve"> date</t>
  </si>
  <si>
    <t>Time (UT):</t>
  </si>
  <si>
    <t xml:space="preserve"> time</t>
  </si>
  <si>
    <t>Year:</t>
  </si>
  <si>
    <t xml:space="preserve"> year</t>
  </si>
  <si>
    <t>Month:</t>
  </si>
  <si>
    <t xml:space="preserve"> month</t>
  </si>
  <si>
    <t>Day:</t>
  </si>
  <si>
    <t xml:space="preserve"> day</t>
  </si>
  <si>
    <t>Hour:</t>
  </si>
  <si>
    <t>Minute:</t>
  </si>
  <si>
    <t xml:space="preserve"> minutes</t>
  </si>
  <si>
    <t>Seconds:</t>
  </si>
  <si>
    <t xml:space="preserve"> seconds</t>
  </si>
  <si>
    <t>Decimal time:</t>
  </si>
  <si>
    <t xml:space="preserve"> days</t>
  </si>
  <si>
    <t>Month offset:</t>
  </si>
  <si>
    <t xml:space="preserve"> moffset</t>
  </si>
  <si>
    <t>kk</t>
  </si>
  <si>
    <t>b0</t>
  </si>
  <si>
    <t xml:space="preserve"> yoffset</t>
  </si>
  <si>
    <t>a</t>
  </si>
  <si>
    <t>b</t>
  </si>
  <si>
    <t>Julian Date:</t>
  </si>
  <si>
    <t xml:space="preserve"> jd</t>
  </si>
  <si>
    <t>Julian Centuries:</t>
  </si>
  <si>
    <t xml:space="preserve"> T</t>
  </si>
  <si>
    <t>Sideral Time:</t>
  </si>
  <si>
    <t>lst</t>
  </si>
  <si>
    <t>TDT-UTC in s</t>
  </si>
  <si>
    <t>deltat</t>
  </si>
  <si>
    <t xml:space="preserve"> hours</t>
  </si>
  <si>
    <t>0.78"/min</t>
  </si>
  <si>
    <t>STdurchUT</t>
  </si>
  <si>
    <r>
      <t xml:space="preserve">In diese Tabelle können die Positionen eingesetzt werden, die an zwei aufeinander folgenden Abenden kurz nach Aufgang des Kleinplaneten </t>
    </r>
    <r>
      <rPr>
        <b/>
        <sz val="10"/>
        <rFont val="Arial"/>
        <family val="2"/>
      </rPr>
      <t xml:space="preserve"> im Abstand von 23h56m</t>
    </r>
    <r>
      <rPr>
        <sz val="10"/>
        <rFont val="Arial"/>
        <family val="0"/>
      </rPr>
      <t xml:space="preserve"> und am dazwischen liegenden Morgen kurz vor Untergang des Kleinplaneten (und Sonnenaufgang) fotografiert und ausgemessen wurden. Natürlich sind auch zwei Morgen- und eine Abendmessung möglich. Der Kleinplanet sollte möglichst lange über dem Horizont sein.</t>
    </r>
  </si>
  <si>
    <t>lambda</t>
  </si>
  <si>
    <t>RE in km</t>
  </si>
  <si>
    <t>AE/RE</t>
  </si>
  <si>
    <t>piS in "</t>
  </si>
  <si>
    <t>Rektaszension</t>
  </si>
  <si>
    <t>Deklination</t>
  </si>
  <si>
    <t>Eigenbew.</t>
  </si>
  <si>
    <t>Delta/AE</t>
  </si>
  <si>
    <t>Konstanten</t>
  </si>
  <si>
    <t xml:space="preserve"> 3. "Rechnung" enthält auch eine vereinfachte (lineare) Form der Interpolation zur Berechnung der "virtuellen Position" des Kleinplaneten.</t>
  </si>
  <si>
    <t>2. Die Auswertung der Messungen geschieht auf dem Tabellenblatt "Rechnung". Dort kann ggf. gewählt werden, ob die Auswertung mit den gemessenen oder mit den theoretischen Positionen des Kleinplaneten durchgeführt werden soll. Die Sternzeit am Ort des Teleskops zur Zeit der ersten Messung wird auf Tabellenblatt "jul. Datum" berechnet.</t>
  </si>
  <si>
    <t>(Name)</t>
  </si>
  <si>
    <t>Drehw. d. Erde</t>
  </si>
  <si>
    <t>proj. Basisl.</t>
  </si>
  <si>
    <t>TE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</si>
</sst>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000"/>
    <numFmt numFmtId="167" formatCode="0.000000"/>
    <numFmt numFmtId="168" formatCode="h:mm:ss;@"/>
    <numFmt numFmtId="169" formatCode="h:mm"/>
    <numFmt numFmtId="170" formatCode="[$-F400]h:mm:ss\ AM/PM"/>
    <numFmt numFmtId="171" formatCode="hh:mm:ss"/>
  </numFmts>
  <fonts count="9">
    <font>
      <sz val="10"/>
      <name val="Arial"/>
      <family val="0"/>
    </font>
    <font>
      <sz val="8"/>
      <name val="Arial"/>
      <family val="0"/>
    </font>
    <font>
      <b/>
      <sz val="10"/>
      <name val="Arial"/>
      <family val="2"/>
    </font>
    <font>
      <sz val="10"/>
      <color indexed="10"/>
      <name val="Arial"/>
      <family val="0"/>
    </font>
    <font>
      <b/>
      <sz val="10"/>
      <color indexed="10"/>
      <name val="Arial"/>
      <family val="2"/>
    </font>
    <font>
      <b/>
      <sz val="12"/>
      <name val="Arial"/>
      <family val="2"/>
    </font>
    <font>
      <sz val="10"/>
      <color indexed="22"/>
      <name val="Arial"/>
      <family val="2"/>
    </font>
    <font>
      <sz val="12"/>
      <name val="Arial"/>
      <family val="2"/>
    </font>
    <font>
      <sz val="10"/>
      <color indexed="48"/>
      <name val="Arial"/>
      <family val="0"/>
    </font>
  </fonts>
  <fills count="6">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15"/>
        <bgColor indexed="64"/>
      </patternFill>
    </fill>
  </fills>
  <borders count="2">
    <border>
      <left/>
      <right/>
      <top/>
      <bottom/>
      <diagonal/>
    </border>
    <border>
      <left>
        <color indexed="63"/>
      </left>
      <right>
        <color indexed="63"/>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5">
    <xf numFmtId="0" fontId="0" fillId="0" borderId="0" xfId="0" applyAlignment="1">
      <alignment/>
    </xf>
    <xf numFmtId="164" fontId="0" fillId="0" borderId="0" xfId="0" applyNumberFormat="1" applyAlignment="1">
      <alignment/>
    </xf>
    <xf numFmtId="2" fontId="0" fillId="0" borderId="0" xfId="0" applyNumberFormat="1" applyAlignment="1">
      <alignment/>
    </xf>
    <xf numFmtId="0" fontId="2" fillId="0" borderId="0" xfId="0" applyFont="1" applyAlignment="1">
      <alignment/>
    </xf>
    <xf numFmtId="2" fontId="2" fillId="0" borderId="0" xfId="0" applyNumberFormat="1" applyFont="1" applyAlignment="1">
      <alignment/>
    </xf>
    <xf numFmtId="0" fontId="0" fillId="0" borderId="0" xfId="0" applyAlignment="1">
      <alignment horizontal="right"/>
    </xf>
    <xf numFmtId="0" fontId="0" fillId="0" borderId="0" xfId="0" applyAlignment="1">
      <alignment horizontal="center"/>
    </xf>
    <xf numFmtId="0" fontId="2" fillId="0" borderId="0" xfId="0" applyFont="1" applyAlignment="1">
      <alignment/>
    </xf>
    <xf numFmtId="0" fontId="3" fillId="0" borderId="0" xfId="0" applyFont="1" applyAlignment="1">
      <alignment/>
    </xf>
    <xf numFmtId="0" fontId="0" fillId="0" borderId="0" xfId="0" applyFill="1" applyAlignment="1">
      <alignment/>
    </xf>
    <xf numFmtId="0" fontId="4" fillId="0" borderId="0" xfId="0" applyFont="1" applyAlignment="1">
      <alignment/>
    </xf>
    <xf numFmtId="21" fontId="0" fillId="2" borderId="0" xfId="0" applyNumberFormat="1" applyFill="1" applyAlignment="1">
      <alignment/>
    </xf>
    <xf numFmtId="164" fontId="4" fillId="0" borderId="0" xfId="0" applyNumberFormat="1" applyFont="1" applyAlignment="1">
      <alignment horizontal="center"/>
    </xf>
    <xf numFmtId="0" fontId="4" fillId="0" borderId="0" xfId="0" applyFont="1" applyAlignment="1">
      <alignment horizontal="center"/>
    </xf>
    <xf numFmtId="165" fontId="0" fillId="0" borderId="0" xfId="0" applyNumberFormat="1" applyAlignment="1">
      <alignment/>
    </xf>
    <xf numFmtId="0" fontId="0" fillId="0" borderId="0" xfId="0" applyAlignment="1">
      <alignment horizontal="left" wrapText="1"/>
    </xf>
    <xf numFmtId="0" fontId="0" fillId="0" borderId="0" xfId="0" applyFill="1" applyAlignment="1">
      <alignment horizontal="center"/>
    </xf>
    <xf numFmtId="2" fontId="0" fillId="0" borderId="0" xfId="0" applyNumberFormat="1" applyFont="1" applyFill="1" applyAlignment="1">
      <alignment horizontal="center"/>
    </xf>
    <xf numFmtId="0" fontId="2" fillId="0" borderId="0" xfId="0" applyFont="1" applyAlignment="1">
      <alignment horizontal="left"/>
    </xf>
    <xf numFmtId="21" fontId="0" fillId="0" borderId="0" xfId="0" applyNumberFormat="1" applyFill="1" applyAlignment="1">
      <alignment/>
    </xf>
    <xf numFmtId="14" fontId="0" fillId="0" borderId="0" xfId="0" applyNumberFormat="1" applyFill="1" applyAlignment="1">
      <alignment/>
    </xf>
    <xf numFmtId="21" fontId="0" fillId="0" borderId="0" xfId="0" applyNumberFormat="1" applyAlignment="1">
      <alignment/>
    </xf>
    <xf numFmtId="166" fontId="0" fillId="0" borderId="0" xfId="0" applyNumberFormat="1" applyAlignment="1">
      <alignment/>
    </xf>
    <xf numFmtId="164" fontId="4" fillId="0" borderId="0" xfId="0" applyNumberFormat="1" applyFont="1" applyAlignment="1">
      <alignment/>
    </xf>
    <xf numFmtId="1" fontId="0" fillId="0" borderId="0" xfId="0" applyNumberFormat="1" applyAlignment="1">
      <alignment/>
    </xf>
    <xf numFmtId="0" fontId="0" fillId="0" borderId="0" xfId="0" applyAlignment="1">
      <alignment/>
    </xf>
    <xf numFmtId="0" fontId="0" fillId="0" borderId="0" xfId="0" applyFill="1" applyAlignment="1">
      <alignment/>
    </xf>
    <xf numFmtId="0" fontId="2" fillId="2" borderId="0" xfId="0" applyFont="1" applyFill="1" applyAlignment="1">
      <alignment/>
    </xf>
    <xf numFmtId="167" fontId="2" fillId="2" borderId="0" xfId="0" applyNumberFormat="1" applyFont="1" applyFill="1" applyAlignment="1">
      <alignment/>
    </xf>
    <xf numFmtId="2" fontId="2" fillId="0" borderId="0" xfId="0" applyNumberFormat="1" applyFont="1" applyFill="1" applyAlignment="1">
      <alignment/>
    </xf>
    <xf numFmtId="14" fontId="0" fillId="2" borderId="0" xfId="0" applyNumberFormat="1" applyFill="1" applyAlignment="1">
      <alignment/>
    </xf>
    <xf numFmtId="0" fontId="6" fillId="0" borderId="0" xfId="0" applyFont="1" applyAlignment="1">
      <alignment/>
    </xf>
    <xf numFmtId="0" fontId="6" fillId="0" borderId="0" xfId="0" applyFont="1" applyAlignment="1">
      <alignment/>
    </xf>
    <xf numFmtId="2" fontId="0" fillId="0" borderId="0" xfId="0" applyNumberFormat="1" applyFont="1" applyFill="1" applyAlignment="1">
      <alignment/>
    </xf>
    <xf numFmtId="0" fontId="2" fillId="0" borderId="0" xfId="0" applyFont="1" applyFill="1" applyAlignment="1">
      <alignment/>
    </xf>
    <xf numFmtId="0" fontId="2" fillId="0" borderId="0" xfId="0" applyFont="1" applyFill="1" applyAlignment="1">
      <alignment/>
    </xf>
    <xf numFmtId="0" fontId="2" fillId="2" borderId="0" xfId="0" applyFont="1" applyFill="1" applyAlignment="1">
      <alignment horizontal="center"/>
    </xf>
    <xf numFmtId="165" fontId="2" fillId="2" borderId="0" xfId="0" applyNumberFormat="1" applyFont="1" applyFill="1" applyAlignment="1">
      <alignment horizontal="center"/>
    </xf>
    <xf numFmtId="165" fontId="0" fillId="0" borderId="0" xfId="0" applyNumberFormat="1" applyFill="1" applyAlignment="1">
      <alignment/>
    </xf>
    <xf numFmtId="0" fontId="0" fillId="3" borderId="0" xfId="0" applyFill="1" applyAlignment="1">
      <alignment/>
    </xf>
    <xf numFmtId="2" fontId="4" fillId="0" borderId="0" xfId="0" applyNumberFormat="1" applyFont="1" applyAlignment="1">
      <alignment/>
    </xf>
    <xf numFmtId="0" fontId="7" fillId="0" borderId="0" xfId="0" applyFont="1" applyAlignment="1">
      <alignment/>
    </xf>
    <xf numFmtId="0" fontId="0" fillId="0" borderId="0" xfId="0" applyAlignment="1">
      <alignment/>
    </xf>
    <xf numFmtId="0" fontId="5" fillId="0" borderId="1" xfId="0" applyFont="1" applyBorder="1" applyAlignment="1">
      <alignment horizontal="center"/>
    </xf>
    <xf numFmtId="14" fontId="7" fillId="4" borderId="0" xfId="0" applyNumberFormat="1" applyFont="1" applyFill="1" applyAlignment="1">
      <alignment/>
    </xf>
    <xf numFmtId="0" fontId="7" fillId="0" borderId="0" xfId="0" applyFont="1" applyAlignment="1">
      <alignment horizontal="center"/>
    </xf>
    <xf numFmtId="0" fontId="7" fillId="0" borderId="0" xfId="0" applyFont="1" applyFill="1" applyAlignment="1">
      <alignment/>
    </xf>
    <xf numFmtId="0" fontId="5" fillId="0" borderId="0" xfId="0" applyFont="1" applyAlignment="1">
      <alignment/>
    </xf>
    <xf numFmtId="167" fontId="7" fillId="5" borderId="0" xfId="0" applyNumberFormat="1" applyFont="1" applyFill="1" applyAlignment="1">
      <alignment/>
    </xf>
    <xf numFmtId="0" fontId="7" fillId="5" borderId="0" xfId="0" applyFont="1" applyFill="1" applyAlignment="1">
      <alignment/>
    </xf>
    <xf numFmtId="168" fontId="7" fillId="5" borderId="0" xfId="0" applyNumberFormat="1" applyFont="1" applyFill="1" applyAlignment="1">
      <alignment/>
    </xf>
    <xf numFmtId="1" fontId="7" fillId="4" borderId="0" xfId="0" applyNumberFormat="1" applyFont="1" applyFill="1" applyAlignment="1">
      <alignment/>
    </xf>
    <xf numFmtId="0" fontId="0" fillId="3" borderId="0" xfId="0" applyFill="1" applyAlignment="1">
      <alignment horizontal="right"/>
    </xf>
    <xf numFmtId="170" fontId="0" fillId="0" borderId="0" xfId="0" applyNumberFormat="1" applyAlignment="1">
      <alignment/>
    </xf>
    <xf numFmtId="170" fontId="7" fillId="4" borderId="0" xfId="0" applyNumberFormat="1" applyFont="1" applyFill="1" applyAlignment="1">
      <alignment/>
    </xf>
    <xf numFmtId="169" fontId="7" fillId="0" borderId="0" xfId="0" applyNumberFormat="1" applyFont="1" applyFill="1" applyAlignment="1">
      <alignment/>
    </xf>
    <xf numFmtId="167" fontId="7" fillId="0" borderId="0" xfId="0" applyNumberFormat="1" applyFont="1" applyFill="1" applyAlignment="1">
      <alignment/>
    </xf>
    <xf numFmtId="168" fontId="7" fillId="0" borderId="0" xfId="0" applyNumberFormat="1" applyFont="1" applyFill="1" applyAlignment="1">
      <alignment/>
    </xf>
    <xf numFmtId="2" fontId="0" fillId="0" borderId="0" xfId="0" applyNumberFormat="1" applyAlignment="1">
      <alignment/>
    </xf>
    <xf numFmtId="0" fontId="2"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5" fillId="0" borderId="0" xfId="0" applyFont="1" applyAlignment="1">
      <alignment horizontal="center"/>
    </xf>
    <xf numFmtId="0" fontId="0" fillId="0" borderId="0" xfId="0" applyAlignment="1">
      <alignment horizontal="center"/>
    </xf>
    <xf numFmtId="165" fontId="2" fillId="2" borderId="0" xfId="0" applyNumberFormat="1" applyFont="1" applyFill="1" applyAlignment="1">
      <alignment horizontal="center"/>
    </xf>
    <xf numFmtId="0" fontId="0"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xf numFmtId="0" fontId="8" fillId="0" borderId="0" xfId="0" applyFont="1" applyAlignment="1">
      <alignment/>
    </xf>
    <xf numFmtId="2" fontId="8" fillId="0" borderId="0" xfId="0" applyNumberFormat="1" applyFont="1" applyAlignment="1">
      <alignment/>
    </xf>
    <xf numFmtId="0" fontId="8" fillId="0" borderId="0" xfId="0" applyFont="1" applyAlignment="1">
      <alignment horizontal="center"/>
    </xf>
    <xf numFmtId="2" fontId="8" fillId="0" borderId="0" xfId="0" applyNumberFormat="1" applyFont="1" applyAlignment="1">
      <alignment horizontal="center"/>
    </xf>
    <xf numFmtId="164" fontId="8" fillId="0" borderId="0" xfId="0" applyNumberFormat="1" applyFont="1" applyAlignment="1">
      <alignment horizontal="center"/>
    </xf>
    <xf numFmtId="1" fontId="8" fillId="0" borderId="0" xfId="0" applyNumberFormat="1" applyFont="1" applyAlignment="1">
      <alignment horizontal="center"/>
    </xf>
    <xf numFmtId="0" fontId="2" fillId="0" borderId="0" xfId="0" applyFont="1" applyFill="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M19"/>
  <sheetViews>
    <sheetView workbookViewId="0" topLeftCell="A1">
      <selection activeCell="A18" sqref="A18"/>
    </sheetView>
  </sheetViews>
  <sheetFormatPr defaultColWidth="11.421875" defaultRowHeight="12.75"/>
  <sheetData>
    <row r="3" spans="1:13" ht="15.75">
      <c r="A3" s="62" t="str">
        <f>CONCATENATE("Bestimmung der Entfernung des Kleinplaneten ",Name," durch Messung seiner täglichen Parallaxe")</f>
        <v>Bestimmung der Entfernung des Kleinplaneten (Name) durch Messung seiner täglichen Parallaxe</v>
      </c>
      <c r="B3" s="62"/>
      <c r="C3" s="62"/>
      <c r="D3" s="62"/>
      <c r="E3" s="62"/>
      <c r="F3" s="62"/>
      <c r="G3" s="62"/>
      <c r="H3" s="62"/>
      <c r="I3" s="62"/>
      <c r="J3" s="62"/>
      <c r="K3" s="62"/>
      <c r="L3" s="62"/>
      <c r="M3" s="62"/>
    </row>
    <row r="5" spans="1:13" ht="12.75">
      <c r="A5" s="61" t="s">
        <v>117</v>
      </c>
      <c r="B5" s="61"/>
      <c r="C5" s="61"/>
      <c r="D5" s="61"/>
      <c r="E5" s="61"/>
      <c r="F5" s="61"/>
      <c r="G5" s="61"/>
      <c r="H5" s="61"/>
      <c r="I5" s="61"/>
      <c r="J5" s="61"/>
      <c r="K5" s="61"/>
      <c r="L5" s="61"/>
      <c r="M5" s="61"/>
    </row>
    <row r="6" spans="1:13" ht="12.75">
      <c r="A6" s="61"/>
      <c r="B6" s="61"/>
      <c r="C6" s="61"/>
      <c r="D6" s="61"/>
      <c r="E6" s="61"/>
      <c r="F6" s="61"/>
      <c r="G6" s="61"/>
      <c r="H6" s="61"/>
      <c r="I6" s="61"/>
      <c r="J6" s="61"/>
      <c r="K6" s="61"/>
      <c r="L6" s="61"/>
      <c r="M6" s="61"/>
    </row>
    <row r="7" spans="1:13" ht="12.75">
      <c r="A7" s="61"/>
      <c r="B7" s="61"/>
      <c r="C7" s="61"/>
      <c r="D7" s="61"/>
      <c r="E7" s="61"/>
      <c r="F7" s="61"/>
      <c r="G7" s="61"/>
      <c r="H7" s="61"/>
      <c r="I7" s="61"/>
      <c r="J7" s="61"/>
      <c r="K7" s="61"/>
      <c r="L7" s="61"/>
      <c r="M7" s="61"/>
    </row>
    <row r="9" spans="1:2" ht="12.75">
      <c r="A9" s="59" t="s">
        <v>34</v>
      </c>
      <c r="B9" s="59"/>
    </row>
    <row r="10" spans="1:2" ht="12.75">
      <c r="A10" s="18"/>
      <c r="B10" s="18"/>
    </row>
    <row r="11" spans="1:13" ht="12.75" customHeight="1">
      <c r="A11" s="61" t="s">
        <v>73</v>
      </c>
      <c r="B11" s="61"/>
      <c r="C11" s="61"/>
      <c r="D11" s="61"/>
      <c r="E11" s="61"/>
      <c r="F11" s="61"/>
      <c r="G11" s="61"/>
      <c r="H11" s="61"/>
      <c r="I11" s="61"/>
      <c r="J11" s="61"/>
      <c r="K11" s="61"/>
      <c r="L11" s="61"/>
      <c r="M11" s="61"/>
    </row>
    <row r="12" spans="1:13" ht="12.75">
      <c r="A12" s="61"/>
      <c r="B12" s="61"/>
      <c r="C12" s="61"/>
      <c r="D12" s="61"/>
      <c r="E12" s="61"/>
      <c r="F12" s="61"/>
      <c r="G12" s="61"/>
      <c r="H12" s="61"/>
      <c r="I12" s="61"/>
      <c r="J12" s="61"/>
      <c r="K12" s="61"/>
      <c r="L12" s="61"/>
      <c r="M12" s="61"/>
    </row>
    <row r="13" spans="1:13" ht="12.75">
      <c r="A13" s="61"/>
      <c r="B13" s="61"/>
      <c r="C13" s="61"/>
      <c r="D13" s="61"/>
      <c r="E13" s="61"/>
      <c r="F13" s="61"/>
      <c r="G13" s="61"/>
      <c r="H13" s="61"/>
      <c r="I13" s="61"/>
      <c r="J13" s="61"/>
      <c r="K13" s="61"/>
      <c r="L13" s="61"/>
      <c r="M13" s="61"/>
    </row>
    <row r="14" spans="1:13" ht="12.75">
      <c r="A14" s="15"/>
      <c r="B14" s="15"/>
      <c r="C14" s="15"/>
      <c r="D14" s="15"/>
      <c r="E14" s="15"/>
      <c r="F14" s="15"/>
      <c r="G14" s="15"/>
      <c r="H14" s="15"/>
      <c r="I14" s="15"/>
      <c r="J14" s="15"/>
      <c r="K14" s="15"/>
      <c r="L14" s="15"/>
      <c r="M14" s="15"/>
    </row>
    <row r="15" spans="1:13" ht="12.75" customHeight="1">
      <c r="A15" s="61" t="s">
        <v>128</v>
      </c>
      <c r="B15" s="61"/>
      <c r="C15" s="61"/>
      <c r="D15" s="61"/>
      <c r="E15" s="61"/>
      <c r="F15" s="61"/>
      <c r="G15" s="61"/>
      <c r="H15" s="61"/>
      <c r="I15" s="61"/>
      <c r="J15" s="61"/>
      <c r="K15" s="61"/>
      <c r="L15" s="61"/>
      <c r="M15" s="61"/>
    </row>
    <row r="16" spans="1:13" ht="12.75">
      <c r="A16" s="61"/>
      <c r="B16" s="61"/>
      <c r="C16" s="61"/>
      <c r="D16" s="61"/>
      <c r="E16" s="61"/>
      <c r="F16" s="61"/>
      <c r="G16" s="61"/>
      <c r="H16" s="61"/>
      <c r="I16" s="61"/>
      <c r="J16" s="61"/>
      <c r="K16" s="61"/>
      <c r="L16" s="61"/>
      <c r="M16" s="61"/>
    </row>
    <row r="17" spans="1:13" ht="12.75">
      <c r="A17" s="61"/>
      <c r="B17" s="61"/>
      <c r="C17" s="61"/>
      <c r="D17" s="61"/>
      <c r="E17" s="61"/>
      <c r="F17" s="61"/>
      <c r="G17" s="61"/>
      <c r="H17" s="61"/>
      <c r="I17" s="61"/>
      <c r="J17" s="61"/>
      <c r="K17" s="61"/>
      <c r="L17" s="61"/>
      <c r="M17" s="61"/>
    </row>
    <row r="18" spans="1:13" ht="12.75">
      <c r="A18" s="15"/>
      <c r="B18" s="15"/>
      <c r="C18" s="15"/>
      <c r="D18" s="15"/>
      <c r="E18" s="15"/>
      <c r="F18" s="15"/>
      <c r="G18" s="15"/>
      <c r="H18" s="15"/>
      <c r="I18" s="15"/>
      <c r="J18" s="15"/>
      <c r="K18" s="15"/>
      <c r="L18" s="15"/>
      <c r="M18" s="15"/>
    </row>
    <row r="19" spans="1:13" ht="12.75">
      <c r="A19" s="60" t="s">
        <v>127</v>
      </c>
      <c r="B19" s="60"/>
      <c r="C19" s="60"/>
      <c r="D19" s="60"/>
      <c r="E19" s="60"/>
      <c r="F19" s="60"/>
      <c r="G19" s="60"/>
      <c r="H19" s="60"/>
      <c r="I19" s="60"/>
      <c r="J19" s="60"/>
      <c r="K19" s="60"/>
      <c r="L19" s="60"/>
      <c r="M19" s="60"/>
    </row>
  </sheetData>
  <mergeCells count="6">
    <mergeCell ref="A9:B9"/>
    <mergeCell ref="A19:M19"/>
    <mergeCell ref="A5:M7"/>
    <mergeCell ref="A3:M3"/>
    <mergeCell ref="A11:M13"/>
    <mergeCell ref="A15:M17"/>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28"/>
  <sheetViews>
    <sheetView workbookViewId="0" topLeftCell="A1">
      <selection activeCell="B4" sqref="B4"/>
    </sheetView>
  </sheetViews>
  <sheetFormatPr defaultColWidth="11.421875" defaultRowHeight="12.75"/>
  <cols>
    <col min="1" max="1" width="24.28125" style="0" customWidth="1"/>
  </cols>
  <sheetData>
    <row r="1" spans="1:3" ht="12.75">
      <c r="A1" s="9" t="s">
        <v>33</v>
      </c>
      <c r="B1" s="9" t="s">
        <v>30</v>
      </c>
      <c r="C1" s="9" t="s">
        <v>31</v>
      </c>
    </row>
    <row r="2" spans="1:3" ht="12.75">
      <c r="A2" s="35" t="s">
        <v>35</v>
      </c>
      <c r="B2" s="37">
        <v>-32.38</v>
      </c>
      <c r="C2" s="36">
        <v>20.867</v>
      </c>
    </row>
    <row r="3" spans="1:3" ht="12.75">
      <c r="A3" s="9" t="s">
        <v>59</v>
      </c>
      <c r="B3" s="64" t="s">
        <v>129</v>
      </c>
      <c r="C3" s="64"/>
    </row>
    <row r="4" spans="1:3" ht="12.75">
      <c r="A4" s="9"/>
      <c r="B4" s="38"/>
      <c r="C4" s="9"/>
    </row>
    <row r="5" spans="1:3" ht="12.75">
      <c r="A5" s="10" t="s">
        <v>48</v>
      </c>
      <c r="B5" s="33"/>
      <c r="C5" s="8"/>
    </row>
    <row r="6" spans="1:6" ht="12.75">
      <c r="A6" s="34" t="s">
        <v>49</v>
      </c>
      <c r="B6" s="30">
        <v>42809</v>
      </c>
      <c r="C6" s="26"/>
      <c r="D6" s="26"/>
      <c r="E6" s="63"/>
      <c r="F6" s="63"/>
    </row>
    <row r="7" spans="1:4" ht="12.75">
      <c r="A7" s="35" t="s">
        <v>50</v>
      </c>
      <c r="B7" s="11">
        <v>0.8683680555555555</v>
      </c>
      <c r="C7" s="9"/>
      <c r="D7" s="9"/>
    </row>
    <row r="8" spans="1:12" ht="12.75">
      <c r="A8" s="35"/>
      <c r="B8" s="9"/>
      <c r="C8" s="9"/>
      <c r="D8" s="9"/>
      <c r="G8" s="65" t="str">
        <f>CONCATENATE("Position von ",Name)</f>
        <v>Position von (Name)</v>
      </c>
      <c r="H8" s="65"/>
      <c r="I8" s="65"/>
      <c r="J8" s="65"/>
      <c r="K8" s="65"/>
      <c r="L8" s="65"/>
    </row>
    <row r="9" spans="1:14" ht="12.75">
      <c r="A9" s="3"/>
      <c r="B9" s="5" t="s">
        <v>51</v>
      </c>
      <c r="C9" t="s">
        <v>37</v>
      </c>
      <c r="D9" s="5" t="s">
        <v>38</v>
      </c>
      <c r="G9" s="63" t="s">
        <v>122</v>
      </c>
      <c r="H9" s="63"/>
      <c r="I9" s="63"/>
      <c r="J9" s="63" t="s">
        <v>123</v>
      </c>
      <c r="K9" s="63"/>
      <c r="L9" s="63"/>
      <c r="M9" s="6" t="s">
        <v>124</v>
      </c>
      <c r="N9" s="6" t="s">
        <v>125</v>
      </c>
    </row>
    <row r="10" spans="1:16" ht="12.75">
      <c r="A10" s="3" t="s">
        <v>36</v>
      </c>
      <c r="B10" s="27">
        <v>14.060811</v>
      </c>
      <c r="C10" s="29">
        <f>B10*15</f>
        <v>210.912165</v>
      </c>
      <c r="D10" s="28">
        <v>-48.900129</v>
      </c>
      <c r="F10" t="s">
        <v>63</v>
      </c>
      <c r="G10">
        <f>INT(B10)</f>
        <v>14</v>
      </c>
      <c r="H10">
        <f>INT((B10-G10)*60)</f>
        <v>3</v>
      </c>
      <c r="I10" s="1">
        <f>(B10-G10-H10/60)*3600</f>
        <v>38.91959999999741</v>
      </c>
      <c r="J10">
        <f>INT(P10)*O10</f>
        <v>-48</v>
      </c>
      <c r="K10">
        <f>INT((P10-INT(P10))*60)</f>
        <v>54</v>
      </c>
      <c r="L10">
        <f>(P10-INT(P10)-K10/60)*3600</f>
        <v>0.46439999999896564</v>
      </c>
      <c r="M10" s="7"/>
      <c r="N10" s="7"/>
      <c r="O10" s="31">
        <f>IF(D10&gt;0,1,-1)</f>
        <v>-1</v>
      </c>
      <c r="P10" s="32">
        <f>ABS(D10)</f>
        <v>48.900129</v>
      </c>
    </row>
    <row r="11" spans="1:14" ht="12.75">
      <c r="A11" s="3" t="s">
        <v>47</v>
      </c>
      <c r="C11" s="4">
        <f>(G11+(H11+I11/60)/60)*15</f>
        <v>210.91208333333333</v>
      </c>
      <c r="D11" s="4">
        <f>IF(J11&gt;0,J11+(K11+L11/60)/60,J11-(K11+L11/60)/60)</f>
        <v>-48.9</v>
      </c>
      <c r="F11" t="s">
        <v>64</v>
      </c>
      <c r="G11" s="39">
        <v>14</v>
      </c>
      <c r="H11" s="39">
        <v>3</v>
      </c>
      <c r="I11" s="39">
        <v>38.9</v>
      </c>
      <c r="J11" s="39">
        <v>-48</v>
      </c>
      <c r="K11" s="39">
        <v>54</v>
      </c>
      <c r="L11" s="39">
        <v>0</v>
      </c>
      <c r="M11" s="52" t="s">
        <v>115</v>
      </c>
      <c r="N11" s="39">
        <v>1.359</v>
      </c>
    </row>
    <row r="13" spans="1:3" ht="12.75">
      <c r="A13" s="10" t="s">
        <v>53</v>
      </c>
      <c r="B13" s="33"/>
      <c r="C13" s="8"/>
    </row>
    <row r="14" spans="1:6" ht="12.75">
      <c r="A14" s="34" t="s">
        <v>52</v>
      </c>
      <c r="B14" s="30">
        <v>42810</v>
      </c>
      <c r="C14" s="26"/>
      <c r="D14" s="26"/>
      <c r="E14" s="63"/>
      <c r="F14" s="63"/>
    </row>
    <row r="15" spans="1:4" ht="12.75">
      <c r="A15" s="35" t="s">
        <v>55</v>
      </c>
      <c r="B15" s="11">
        <v>0.12743055555555555</v>
      </c>
      <c r="C15" s="9"/>
      <c r="D15" s="9"/>
    </row>
    <row r="16" spans="1:4" ht="12.75">
      <c r="A16" s="35" t="s">
        <v>58</v>
      </c>
      <c r="B16" s="19">
        <f>lst</f>
        <v>0.669220028934069</v>
      </c>
      <c r="C16" s="9"/>
      <c r="D16" s="9"/>
    </row>
    <row r="17" spans="1:12" ht="12.75">
      <c r="A17" s="35"/>
      <c r="B17" s="9"/>
      <c r="C17" s="9"/>
      <c r="D17" s="9"/>
      <c r="G17" s="65" t="str">
        <f>CONCATENATE("Position von ",Name)</f>
        <v>Position von (Name)</v>
      </c>
      <c r="H17" s="65"/>
      <c r="I17" s="65"/>
      <c r="J17" s="65"/>
      <c r="K17" s="65"/>
      <c r="L17" s="65"/>
    </row>
    <row r="18" spans="1:12" ht="12.75">
      <c r="A18" s="3"/>
      <c r="B18" s="5" t="s">
        <v>51</v>
      </c>
      <c r="C18" t="s">
        <v>37</v>
      </c>
      <c r="D18" s="5" t="s">
        <v>38</v>
      </c>
      <c r="G18" s="63" t="s">
        <v>122</v>
      </c>
      <c r="H18" s="63"/>
      <c r="I18" s="63"/>
      <c r="J18" s="63" t="s">
        <v>123</v>
      </c>
      <c r="K18" s="63"/>
      <c r="L18" s="63"/>
    </row>
    <row r="19" spans="1:16" ht="12.75">
      <c r="A19" s="3" t="s">
        <v>36</v>
      </c>
      <c r="B19" s="27">
        <v>14.057892</v>
      </c>
      <c r="C19" s="29">
        <f>B19*15</f>
        <v>210.86838</v>
      </c>
      <c r="D19" s="28">
        <v>-48.975477</v>
      </c>
      <c r="F19" t="s">
        <v>63</v>
      </c>
      <c r="G19">
        <f>INT(B19)</f>
        <v>14</v>
      </c>
      <c r="H19">
        <f>INT((B19-G19)*60)</f>
        <v>3</v>
      </c>
      <c r="I19" s="1">
        <f>(B19-G19-H19/60)*3600</f>
        <v>28.411200000002584</v>
      </c>
      <c r="J19">
        <f>INT(P19)*O19</f>
        <v>-48</v>
      </c>
      <c r="K19">
        <f>INT((P19-INT(P19))*60)</f>
        <v>58</v>
      </c>
      <c r="L19">
        <f>(P19-INT(P19)-K19/60)*3600</f>
        <v>31.717199999992516</v>
      </c>
      <c r="M19" s="7"/>
      <c r="N19" s="7"/>
      <c r="O19" s="31">
        <f>IF(D19&gt;0,1,-1)</f>
        <v>-1</v>
      </c>
      <c r="P19" s="32">
        <f>ABS(D19)</f>
        <v>48.975477</v>
      </c>
    </row>
    <row r="20" spans="1:12" ht="12.75">
      <c r="A20" s="3" t="s">
        <v>47</v>
      </c>
      <c r="C20" s="4">
        <f>(G20+(H20+I20/60)/60)*15</f>
        <v>210.86791666666664</v>
      </c>
      <c r="D20" s="4">
        <f>IF(J20&gt;0,J20+(K20+L20/60)/60,J20-(K20+L20/60)/60)</f>
        <v>-48.97555555555556</v>
      </c>
      <c r="F20" t="s">
        <v>64</v>
      </c>
      <c r="G20" s="39">
        <v>14</v>
      </c>
      <c r="H20" s="39">
        <v>3</v>
      </c>
      <c r="I20" s="39">
        <v>28.3</v>
      </c>
      <c r="J20" s="39">
        <v>-48</v>
      </c>
      <c r="K20" s="39">
        <v>58</v>
      </c>
      <c r="L20" s="39">
        <v>32</v>
      </c>
    </row>
    <row r="22" spans="1:3" ht="12.75">
      <c r="A22" s="10" t="s">
        <v>54</v>
      </c>
      <c r="B22" s="33"/>
      <c r="C22" s="8"/>
    </row>
    <row r="23" spans="1:6" ht="12.75">
      <c r="A23" s="34" t="s">
        <v>56</v>
      </c>
      <c r="B23" s="30">
        <v>42810</v>
      </c>
      <c r="C23" s="26"/>
      <c r="D23" s="26"/>
      <c r="E23" s="63"/>
      <c r="F23" s="63"/>
    </row>
    <row r="24" spans="1:4" ht="12.75">
      <c r="A24" s="35" t="s">
        <v>57</v>
      </c>
      <c r="B24" s="11">
        <v>0.9258101851851852</v>
      </c>
      <c r="C24" s="9"/>
      <c r="D24" s="9"/>
    </row>
    <row r="25" spans="1:12" ht="12.75">
      <c r="A25" s="35"/>
      <c r="B25" s="9"/>
      <c r="C25" s="9"/>
      <c r="D25" s="9"/>
      <c r="G25" s="65" t="str">
        <f>CONCATENATE("Position von ",Name)</f>
        <v>Position von (Name)</v>
      </c>
      <c r="H25" s="65"/>
      <c r="I25" s="65"/>
      <c r="J25" s="65"/>
      <c r="K25" s="65"/>
      <c r="L25" s="65"/>
    </row>
    <row r="26" spans="1:12" ht="12.75">
      <c r="A26" s="3"/>
      <c r="B26" s="5" t="s">
        <v>51</v>
      </c>
      <c r="C26" t="s">
        <v>37</v>
      </c>
      <c r="D26" s="5" t="s">
        <v>38</v>
      </c>
      <c r="G26" s="63" t="s">
        <v>122</v>
      </c>
      <c r="H26" s="63"/>
      <c r="I26" s="63"/>
      <c r="J26" s="63" t="s">
        <v>123</v>
      </c>
      <c r="K26" s="63"/>
      <c r="L26" s="63"/>
    </row>
    <row r="27" spans="1:16" ht="12.75">
      <c r="A27" s="3" t="s">
        <v>36</v>
      </c>
      <c r="B27" s="27">
        <v>14.049335</v>
      </c>
      <c r="C27" s="29">
        <f>B27*15</f>
        <v>210.740025</v>
      </c>
      <c r="D27" s="28">
        <v>-49.204425</v>
      </c>
      <c r="F27" t="s">
        <v>63</v>
      </c>
      <c r="G27">
        <f>INT(B27)</f>
        <v>14</v>
      </c>
      <c r="H27">
        <f>INT((B27-G27)*60)</f>
        <v>2</v>
      </c>
      <c r="I27" s="1">
        <f>(B27-G27-H27/60)*3600</f>
        <v>57.605999999997266</v>
      </c>
      <c r="J27">
        <f>INT(P27)*O27</f>
        <v>-49</v>
      </c>
      <c r="K27">
        <f>INT((P27-INT(P27))*60)</f>
        <v>12</v>
      </c>
      <c r="L27">
        <f>(P27-INT(P27)-K27/60)*3600</f>
        <v>15.930000000001844</v>
      </c>
      <c r="N27" s="7"/>
      <c r="O27" s="31">
        <f>IF(D27&gt;0,1,-1)</f>
        <v>-1</v>
      </c>
      <c r="P27" s="32">
        <f>ABS(D27)</f>
        <v>49.204425</v>
      </c>
    </row>
    <row r="28" spans="1:12" ht="12.75">
      <c r="A28" s="3" t="s">
        <v>47</v>
      </c>
      <c r="C28" s="4">
        <f>(G28+(H28+I28/60)/60)*15</f>
        <v>210.74</v>
      </c>
      <c r="D28" s="4">
        <f>IF(J28&gt;0,J28+(K28+L28/60)/60,J28-(K28+L28/60)/60)</f>
        <v>-49.20444444444445</v>
      </c>
      <c r="F28" t="s">
        <v>64</v>
      </c>
      <c r="G28" s="39">
        <v>14</v>
      </c>
      <c r="H28" s="39">
        <v>2</v>
      </c>
      <c r="I28" s="39">
        <v>57.6</v>
      </c>
      <c r="J28" s="39">
        <v>-49</v>
      </c>
      <c r="K28" s="39">
        <v>12</v>
      </c>
      <c r="L28" s="39">
        <v>16</v>
      </c>
    </row>
  </sheetData>
  <mergeCells count="13">
    <mergeCell ref="B3:C3"/>
    <mergeCell ref="G17:L17"/>
    <mergeCell ref="E23:F23"/>
    <mergeCell ref="G25:L25"/>
    <mergeCell ref="E6:F6"/>
    <mergeCell ref="G8:L8"/>
    <mergeCell ref="E14:F14"/>
    <mergeCell ref="G26:I26"/>
    <mergeCell ref="J26:L26"/>
    <mergeCell ref="G9:I9"/>
    <mergeCell ref="J9:L9"/>
    <mergeCell ref="G18:I18"/>
    <mergeCell ref="J18:L18"/>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N39"/>
  <sheetViews>
    <sheetView tabSelected="1" workbookViewId="0" topLeftCell="A1">
      <selection activeCell="J20" sqref="J20"/>
    </sheetView>
  </sheetViews>
  <sheetFormatPr defaultColWidth="11.421875" defaultRowHeight="12.75"/>
  <cols>
    <col min="1" max="1" width="40.421875" style="0" customWidth="1"/>
    <col min="2" max="2" width="12.57421875" style="0" customWidth="1"/>
    <col min="5" max="5" width="13.140625" style="0" customWidth="1"/>
    <col min="6" max="6" width="12.8515625" style="0" customWidth="1"/>
    <col min="14" max="14" width="12.421875" style="0" bestFit="1" customWidth="1"/>
  </cols>
  <sheetData>
    <row r="2" spans="2:14" ht="12.75">
      <c r="B2" s="16" t="s">
        <v>7</v>
      </c>
      <c r="C2" s="16" t="s">
        <v>8</v>
      </c>
      <c r="D2" s="6" t="s">
        <v>23</v>
      </c>
      <c r="E2" s="6" t="s">
        <v>24</v>
      </c>
      <c r="F2" s="16" t="s">
        <v>5</v>
      </c>
      <c r="G2" s="16" t="s">
        <v>6</v>
      </c>
      <c r="H2" s="16"/>
      <c r="I2" s="6" t="s">
        <v>1</v>
      </c>
      <c r="J2" s="6" t="s">
        <v>2</v>
      </c>
      <c r="K2" s="6" t="s">
        <v>9</v>
      </c>
      <c r="M2" s="66" t="s">
        <v>126</v>
      </c>
      <c r="N2" s="66"/>
    </row>
    <row r="3" spans="1:14" ht="12.75">
      <c r="A3">
        <v>1</v>
      </c>
      <c r="B3" s="20">
        <f>Datum1</f>
        <v>42809</v>
      </c>
      <c r="C3" s="19">
        <f>UT1</f>
        <v>0.8683680555555555</v>
      </c>
      <c r="D3" s="2">
        <f>(B3+C3-$B$3)*24</f>
        <v>20.840833333320916</v>
      </c>
      <c r="E3" s="2">
        <f>D3-$D$3</f>
        <v>0</v>
      </c>
      <c r="F3" s="17">
        <f>Rekt1</f>
        <v>210.912165</v>
      </c>
      <c r="G3" s="17">
        <f>Dekl1</f>
        <v>-48.900129</v>
      </c>
      <c r="H3" s="17" t="s">
        <v>3</v>
      </c>
      <c r="I3">
        <f>COS(G3*Grad)*COS(F3*Grad)</f>
        <v>-0.5639974832332542</v>
      </c>
      <c r="J3">
        <f>COS(G3*Grad)*SIN(F3*Grad)</f>
        <v>-0.3377081906711168</v>
      </c>
      <c r="K3">
        <f>SIN(G3*Grad)</f>
        <v>-0.7535648723634852</v>
      </c>
      <c r="M3" t="s">
        <v>0</v>
      </c>
      <c r="N3">
        <f>PI()/180</f>
        <v>0.017453292519943295</v>
      </c>
    </row>
    <row r="4" spans="1:14" ht="12.75">
      <c r="A4">
        <v>2</v>
      </c>
      <c r="B4" s="20">
        <f>Datum2</f>
        <v>42810</v>
      </c>
      <c r="C4" s="19">
        <f>UT2</f>
        <v>0.12743055555555555</v>
      </c>
      <c r="D4" s="2">
        <f>(B4+C4-$B$3)*24</f>
        <v>27.058333333348855</v>
      </c>
      <c r="E4" s="2">
        <f>D4-$D$3</f>
        <v>6.21750000002794</v>
      </c>
      <c r="F4" s="17">
        <f>Rekt2</f>
        <v>210.86838</v>
      </c>
      <c r="G4" s="17">
        <f>Dekl2</f>
        <v>-48.975477</v>
      </c>
      <c r="H4" s="17" t="s">
        <v>4</v>
      </c>
      <c r="I4">
        <f>COS(G4*Grad)*COS(F4*Grad)</f>
        <v>-0.5634042895030473</v>
      </c>
      <c r="J4">
        <f>COS(G4*Grad)*SIN(F4*Grad)</f>
        <v>-0.3367683525656245</v>
      </c>
      <c r="K4">
        <f>SIN(G4*Grad)</f>
        <v>-0.7544287131862107</v>
      </c>
      <c r="M4" s="42" t="s">
        <v>119</v>
      </c>
      <c r="N4" s="42">
        <v>6378.14</v>
      </c>
    </row>
    <row r="5" spans="1:14" ht="12.75">
      <c r="A5">
        <v>3</v>
      </c>
      <c r="B5" s="20">
        <f>Datum3</f>
        <v>42810</v>
      </c>
      <c r="C5" s="19">
        <f>UT3</f>
        <v>0.9258101851851852</v>
      </c>
      <c r="D5" s="2">
        <f>(B5+C5-$B$3)*24</f>
        <v>46.21944444451947</v>
      </c>
      <c r="E5" s="2">
        <f>D5-$D$3</f>
        <v>25.378611111198552</v>
      </c>
      <c r="F5" s="17">
        <f>Rekt3</f>
        <v>210.740025</v>
      </c>
      <c r="G5" s="17">
        <f>Dekl3</f>
        <v>-49.204425</v>
      </c>
      <c r="H5" s="17" t="s">
        <v>25</v>
      </c>
      <c r="I5">
        <f>COS(G5*Grad)*COS(F5*Grad)</f>
        <v>-0.5615617611437916</v>
      </c>
      <c r="J5">
        <f>COS(G5*Grad)*SIN(F5*Grad)</f>
        <v>-0.3339617832905774</v>
      </c>
      <c r="K5">
        <f>SIN(G5*Grad)</f>
        <v>-0.7570455176027796</v>
      </c>
      <c r="M5" s="42" t="s">
        <v>120</v>
      </c>
      <c r="N5" s="42">
        <v>23454.78</v>
      </c>
    </row>
    <row r="6" spans="13:14" ht="12.75">
      <c r="M6" s="42" t="s">
        <v>121</v>
      </c>
      <c r="N6" s="58">
        <f>1/AE/Grad*3600</f>
        <v>8.794147983783962</v>
      </c>
    </row>
    <row r="7" spans="1:14" ht="12.75">
      <c r="A7" t="s">
        <v>60</v>
      </c>
      <c r="B7" t="s">
        <v>10</v>
      </c>
      <c r="C7">
        <f>J3*K5-K3*J5</f>
        <v>0.003998603405667878</v>
      </c>
      <c r="D7">
        <f>K3*I5-I3*K5</f>
        <v>-0.0037985497604485774</v>
      </c>
      <c r="E7">
        <f>I3*J5-J3*I5</f>
        <v>-0.0012904010339806482</v>
      </c>
      <c r="F7">
        <f>SQRT(C7^2+D7^2+E7^2)</f>
        <v>0.005664180815168334</v>
      </c>
      <c r="H7" s="34"/>
      <c r="I7" s="34"/>
      <c r="J7" s="34"/>
      <c r="M7" s="42" t="s">
        <v>116</v>
      </c>
      <c r="N7" s="42">
        <v>1.0027379093</v>
      </c>
    </row>
    <row r="8" spans="1:14" ht="12.75">
      <c r="A8" t="s">
        <v>26</v>
      </c>
      <c r="B8" t="s">
        <v>11</v>
      </c>
      <c r="C8">
        <f>C7/$F$7</f>
        <v>0.7059455790958966</v>
      </c>
      <c r="D8">
        <f>D7/$F$7</f>
        <v>-0.6706265008836388</v>
      </c>
      <c r="E8">
        <f>E7/$F$7</f>
        <v>-0.22781776855093186</v>
      </c>
      <c r="H8" s="9"/>
      <c r="I8" s="74"/>
      <c r="J8" s="9"/>
      <c r="M8" t="s">
        <v>132</v>
      </c>
      <c r="N8">
        <f>23+56/60</f>
        <v>23.933333333333334</v>
      </c>
    </row>
    <row r="9" spans="1:2" ht="12.75">
      <c r="A9" t="s">
        <v>28</v>
      </c>
      <c r="B9" t="s">
        <v>3</v>
      </c>
    </row>
    <row r="10" spans="1:5" ht="12.75">
      <c r="A10" t="s">
        <v>27</v>
      </c>
      <c r="B10" t="s">
        <v>12</v>
      </c>
      <c r="C10">
        <f>D8*K3-E8*J3</f>
        <v>0.4284246471218836</v>
      </c>
      <c r="D10">
        <f>E8*I3-C8*K3</f>
        <v>0.6604644383055076</v>
      </c>
      <c r="E10">
        <f>C8*J3-D8*I3</f>
        <v>-0.6166352629166449</v>
      </c>
    </row>
    <row r="11" spans="1:7" ht="12.75">
      <c r="A11" t="str">
        <f>CONCATENATE("von ",Name," insgesamt überstrichener Winkel")</f>
        <v>von (Name) insgesamt überstrichener Winkel</v>
      </c>
      <c r="B11" t="s">
        <v>14</v>
      </c>
      <c r="C11">
        <f>ACOS(I3*I5+J3*J5+K3*K5)/Grad</f>
        <v>0.32453539046546315</v>
      </c>
      <c r="F11" s="67" t="s">
        <v>68</v>
      </c>
      <c r="G11" s="67"/>
    </row>
    <row r="12" spans="1:11" ht="12.75">
      <c r="A12" t="s">
        <v>29</v>
      </c>
      <c r="B12" t="s">
        <v>13</v>
      </c>
      <c r="C12">
        <f>C11/E5</f>
        <v>0.012787752215575692</v>
      </c>
      <c r="F12" s="40">
        <f>C12/60*3600</f>
        <v>0.7672651329345416</v>
      </c>
      <c r="G12" s="40" t="s">
        <v>67</v>
      </c>
      <c r="K12" s="6"/>
    </row>
    <row r="13" spans="2:3" ht="12.75">
      <c r="B13" t="s">
        <v>15</v>
      </c>
      <c r="C13">
        <f>C12*E4</f>
        <v>0.07950784940069915</v>
      </c>
    </row>
    <row r="14" spans="2:5" ht="12.75">
      <c r="B14" t="s">
        <v>16</v>
      </c>
      <c r="C14">
        <f>I3*COS(C13*Grad)</f>
        <v>-0.5639969402057229</v>
      </c>
      <c r="D14">
        <f>J3*COS(C13*Grad)</f>
        <v>-0.3377078655192313</v>
      </c>
      <c r="E14">
        <f>K3*COS(C13*Grad)</f>
        <v>-0.753564146816857</v>
      </c>
    </row>
    <row r="15" spans="2:9" ht="12.75">
      <c r="B15" t="s">
        <v>17</v>
      </c>
      <c r="C15">
        <f>C10*SIN(C13*Grad)</f>
        <v>0.0005945134472414007</v>
      </c>
      <c r="D15">
        <f>D10*SIN(C13*Grad)</f>
        <v>0.0009165088718288781</v>
      </c>
      <c r="E15">
        <f>E10*SIN(C13*Grad)</f>
        <v>-0.0008556882950361343</v>
      </c>
      <c r="H15" s="25"/>
      <c r="I15" s="25"/>
    </row>
    <row r="16" spans="1:10" ht="12.75">
      <c r="A16" t="str">
        <f>CONCATENATE("berechnete Position von ",Name)</f>
        <v>berechnete Position von (Name)</v>
      </c>
      <c r="F16" t="s">
        <v>19</v>
      </c>
      <c r="G16" t="s">
        <v>20</v>
      </c>
      <c r="I16" s="14"/>
      <c r="J16" s="12"/>
    </row>
    <row r="17" spans="1:7" ht="12.75">
      <c r="A17" t="s">
        <v>61</v>
      </c>
      <c r="B17" t="s">
        <v>18</v>
      </c>
      <c r="C17">
        <f>C14+C15</f>
        <v>-0.5634024267584815</v>
      </c>
      <c r="D17">
        <f>D14+D15</f>
        <v>-0.33679135664740245</v>
      </c>
      <c r="E17">
        <f>E14+E15</f>
        <v>-0.7544198351118931</v>
      </c>
      <c r="F17" s="3">
        <f>IF(ATAN2(C17,D17)/Grad&gt;0,ATAN2(C17,D17)/Grad,ATAN2(C17,D17)/Grad+360)</f>
        <v>210.87018698807606</v>
      </c>
      <c r="G17" s="3">
        <f>ATAN(E17/SQRT(C17^2+D17^2))/Grad</f>
        <v>-48.97470203627082</v>
      </c>
    </row>
    <row r="18" ht="12.75">
      <c r="G18" s="25"/>
    </row>
    <row r="19" spans="1:11" ht="12.75">
      <c r="A19" s="3" t="s">
        <v>41</v>
      </c>
      <c r="B19" s="4">
        <f>ACOS(SIN(G4*Grad)*SIN(G17*Grad)+COS(G4*Grad)*COS(G17*Grad)*COS((F4-F17)*Grad))/Grad*3600</f>
        <v>5.100531866229386</v>
      </c>
      <c r="C19" s="3" t="s">
        <v>22</v>
      </c>
      <c r="H19" s="25"/>
      <c r="I19" s="25"/>
      <c r="K19" s="13"/>
    </row>
    <row r="20" spans="1:3" ht="12.75">
      <c r="A20" s="3"/>
      <c r="B20" s="4">
        <v>6.22</v>
      </c>
      <c r="C20" s="3" t="s">
        <v>21</v>
      </c>
    </row>
    <row r="21" spans="1:11" ht="12.75">
      <c r="A21" s="10" t="str">
        <f>CONCATENATE("Parallaxe von ",Name)</f>
        <v>Parallaxe von (Name)</v>
      </c>
      <c r="B21" s="23">
        <f>B19/B35</f>
        <v>4.221197187468372</v>
      </c>
      <c r="C21" s="10" t="s">
        <v>65</v>
      </c>
      <c r="F21" s="25"/>
      <c r="G21" s="25"/>
      <c r="K21" s="2"/>
    </row>
    <row r="22" spans="1:11" ht="12.75">
      <c r="A22" s="10" t="str">
        <f>CONCATENATE("Entfernung von ",Name)</f>
        <v>Entfernung von (Name)</v>
      </c>
      <c r="B22" s="23">
        <f>piS/B21</f>
        <v>2.08333029546487</v>
      </c>
      <c r="C22" s="23" t="s">
        <v>66</v>
      </c>
      <c r="D22" s="10">
        <f>ROUND(1/(B21*Grad)*3600*RE/1000,0)*1000</f>
        <v>311662000</v>
      </c>
      <c r="E22" s="10" t="s">
        <v>72</v>
      </c>
      <c r="F22" s="25"/>
      <c r="G22" s="25"/>
      <c r="K22" s="2"/>
    </row>
    <row r="23" spans="1:11" ht="12.75">
      <c r="A23" s="10"/>
      <c r="B23" s="23"/>
      <c r="C23" s="23"/>
      <c r="D23" s="10"/>
      <c r="E23" s="10"/>
      <c r="F23" s="25"/>
      <c r="G23" s="25"/>
      <c r="K23" s="2"/>
    </row>
    <row r="24" spans="1:11" ht="12.75">
      <c r="A24" s="10" t="s">
        <v>74</v>
      </c>
      <c r="B24" s="23">
        <f>F38</f>
        <v>3.950255195763192</v>
      </c>
      <c r="C24" s="23" t="s">
        <v>65</v>
      </c>
      <c r="D24" s="10"/>
      <c r="E24" s="10"/>
      <c r="F24" s="25"/>
      <c r="G24" s="25"/>
      <c r="K24" s="2"/>
    </row>
    <row r="25" spans="1:11" ht="12.75">
      <c r="A25" s="10"/>
      <c r="B25" s="23">
        <f>G38</f>
        <v>2.2277041770461703</v>
      </c>
      <c r="C25" s="23" t="s">
        <v>66</v>
      </c>
      <c r="D25" s="10">
        <f>ROUND(1/(B24*Grad)*3600*RE/1000,0)*1000</f>
        <v>333038000</v>
      </c>
      <c r="E25" s="10" t="s">
        <v>72</v>
      </c>
      <c r="F25" s="25"/>
      <c r="G25" s="25"/>
      <c r="I25" s="53"/>
      <c r="K25" s="2"/>
    </row>
    <row r="26" spans="6:11" ht="12.75">
      <c r="F26" s="25"/>
      <c r="G26" s="25"/>
      <c r="K26" s="2"/>
    </row>
    <row r="27" spans="1:5" ht="12.75">
      <c r="A27" t="str">
        <f>CONCATENATE("theoretische Position von ",Name)</f>
        <v>theoretische Position von (Name)</v>
      </c>
      <c r="B27" s="39">
        <v>14</v>
      </c>
      <c r="C27" s="39">
        <v>2</v>
      </c>
      <c r="D27" s="39">
        <v>57.6</v>
      </c>
      <c r="E27">
        <f>(B27+(C27+D27/60)/60)*15</f>
        <v>210.74</v>
      </c>
    </row>
    <row r="28" spans="1:7" ht="12.75">
      <c r="A28" t="s">
        <v>61</v>
      </c>
      <c r="B28" s="39">
        <v>-49</v>
      </c>
      <c r="C28" s="39">
        <v>12</v>
      </c>
      <c r="D28" s="39">
        <v>10</v>
      </c>
      <c r="E28" s="2">
        <f>IF(B28&gt;0,B28+(C28+D28/60)/60,B28-(C28+D28/60)/60)</f>
        <v>-49.202777777777776</v>
      </c>
      <c r="F28" s="31"/>
      <c r="G28" s="32"/>
    </row>
    <row r="29" spans="1:9" ht="12.75">
      <c r="A29" t="s">
        <v>69</v>
      </c>
      <c r="G29" s="9"/>
      <c r="H29" s="9"/>
      <c r="I29" s="9"/>
    </row>
    <row r="30" spans="1:8" ht="12.75">
      <c r="A30" t="s">
        <v>70</v>
      </c>
      <c r="B30" s="6" t="s">
        <v>39</v>
      </c>
      <c r="C30" s="6" t="s">
        <v>118</v>
      </c>
      <c r="D30" s="6" t="s">
        <v>111</v>
      </c>
      <c r="E30" s="6" t="s">
        <v>5</v>
      </c>
      <c r="F30" s="6" t="s">
        <v>1</v>
      </c>
      <c r="G30" s="6" t="s">
        <v>2</v>
      </c>
      <c r="H30" s="6" t="s">
        <v>9</v>
      </c>
    </row>
    <row r="31" spans="1:8" ht="12.75">
      <c r="A31" t="str">
        <f>Ort</f>
        <v>Monet South</v>
      </c>
      <c r="B31">
        <f>geogrBreite</f>
        <v>-32.38</v>
      </c>
      <c r="C31">
        <f>geogrLaenge</f>
        <v>20.867</v>
      </c>
      <c r="D31" s="19">
        <f>lst</f>
        <v>0.669220028934069</v>
      </c>
      <c r="E31" s="22">
        <f>D31*360</f>
        <v>240.91921041626483</v>
      </c>
      <c r="F31">
        <f>COS(E31*Grad)*COS(B31*Grad)</f>
        <v>-0.410470046958468</v>
      </c>
      <c r="G31">
        <f>SIN(E31*Grad)*COS(B31*Grad)</f>
        <v>-0.738051338764054</v>
      </c>
      <c r="H31">
        <f>SIN(B31*Grad)</f>
        <v>-0.5355320362952162</v>
      </c>
    </row>
    <row r="32" spans="1:8" ht="12.75">
      <c r="A32" t="s">
        <v>62</v>
      </c>
      <c r="B32">
        <f>geogrBreite</f>
        <v>-32.38</v>
      </c>
      <c r="C32" s="14">
        <f>C31-(D31-D32)*360/STdurchUT</f>
        <v>-72.39550000041908</v>
      </c>
      <c r="D32" s="19">
        <f>lst-E4/24*STdurchUT</f>
        <v>0.4094482393048704</v>
      </c>
      <c r="E32" s="22">
        <f>D32*360</f>
        <v>147.40136614975336</v>
      </c>
      <c r="F32">
        <f>COS(E32*Grad)*COS(B32*Grad)</f>
        <v>-0.7114744614073926</v>
      </c>
      <c r="G32">
        <f>SIN(E32*Grad)*COS(B32*Grad)</f>
        <v>0.4549829984368208</v>
      </c>
      <c r="H32">
        <f>SIN(B32*Grad)</f>
        <v>-0.5355320362952162</v>
      </c>
    </row>
    <row r="33" spans="1:9" ht="12.75">
      <c r="A33" t="s">
        <v>46</v>
      </c>
      <c r="E33" s="22"/>
      <c r="F33">
        <f>F32-F31</f>
        <v>-0.30100441444892456</v>
      </c>
      <c r="G33">
        <f>G32-G31</f>
        <v>1.1930343372008747</v>
      </c>
      <c r="H33">
        <f>H32-H31</f>
        <v>0</v>
      </c>
      <c r="I33" s="4">
        <f>SQRT(F33^2+G33^2+H33^2)</f>
        <v>1.230420492050612</v>
      </c>
    </row>
    <row r="34" spans="1:5" ht="12.75">
      <c r="A34" t="s">
        <v>44</v>
      </c>
      <c r="B34" s="24">
        <f>ACOS((I4*F33+J4*G33+K4*F34)/I33)/Grad</f>
        <v>100.87733914266664</v>
      </c>
      <c r="C34" s="2"/>
      <c r="D34" s="21"/>
      <c r="E34" s="22"/>
    </row>
    <row r="35" spans="1:2" ht="12.75">
      <c r="A35" t="s">
        <v>45</v>
      </c>
      <c r="B35" s="4">
        <f>I33*SIN(B34*Grad)</f>
        <v>1.2083140492397582</v>
      </c>
    </row>
    <row r="36" spans="3:8" ht="12.75">
      <c r="C36" s="6"/>
      <c r="D36" s="6"/>
      <c r="E36" s="6"/>
      <c r="F36" s="6"/>
      <c r="G36" s="6"/>
      <c r="H36" s="6"/>
    </row>
    <row r="37" spans="1:9" ht="12.75">
      <c r="A37" t="s">
        <v>32</v>
      </c>
      <c r="B37" s="68" t="s">
        <v>130</v>
      </c>
      <c r="C37" s="68" t="s">
        <v>131</v>
      </c>
      <c r="D37" s="70" t="s">
        <v>37</v>
      </c>
      <c r="E37" s="70" t="s">
        <v>38</v>
      </c>
      <c r="F37" s="70" t="s">
        <v>40</v>
      </c>
      <c r="G37" s="70" t="s">
        <v>71</v>
      </c>
      <c r="H37" s="70" t="s">
        <v>42</v>
      </c>
      <c r="I37" s="70" t="s">
        <v>43</v>
      </c>
    </row>
    <row r="38" spans="2:9" ht="12.75">
      <c r="B38" s="69">
        <f>360/TE*E4</f>
        <v>93.52228412298294</v>
      </c>
      <c r="C38" s="69">
        <f>ABS(2*SIN(B38*Grad/2)*COS(B31*Grad)*SIN(B34*Grad))</f>
        <v>1.208358074873353</v>
      </c>
      <c r="D38" s="71">
        <f>F3+(F5-F3)/E5*E4</f>
        <v>210.86999246166386</v>
      </c>
      <c r="E38" s="72">
        <f>G3+(G5-G3)/E5*E4</f>
        <v>-48.974678405864594</v>
      </c>
      <c r="F38" s="72">
        <f>SQRT(((D38-F4)*COS(G4*Grad))^2+(E38-G4)^2)*3600/B35</f>
        <v>3.950255195763192</v>
      </c>
      <c r="G38" s="72">
        <f>8.8/F38</f>
        <v>2.2277041770461703</v>
      </c>
      <c r="H38" s="73">
        <f>1/(F38*Grad)*3600</f>
        <v>52215.564824349494</v>
      </c>
      <c r="I38" s="70">
        <f>ROUND(H38*6370/1000,0)*1000</f>
        <v>332613000</v>
      </c>
    </row>
    <row r="39" ht="12.75">
      <c r="D39" s="4"/>
    </row>
  </sheetData>
  <mergeCells count="2">
    <mergeCell ref="F11:G11"/>
    <mergeCell ref="M2:N2"/>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26"/>
  <sheetViews>
    <sheetView workbookViewId="0" topLeftCell="A1">
      <selection activeCell="B7" sqref="B7"/>
    </sheetView>
  </sheetViews>
  <sheetFormatPr defaultColWidth="11.421875" defaultRowHeight="12.75"/>
  <cols>
    <col min="1" max="1" width="22.28125" style="0" customWidth="1"/>
    <col min="2" max="2" width="20.140625" style="0" customWidth="1"/>
    <col min="5" max="5" width="19.57421875" style="0" customWidth="1"/>
  </cols>
  <sheetData>
    <row r="1" spans="1:5" ht="15">
      <c r="A1" s="41" t="s">
        <v>75</v>
      </c>
      <c r="B1" s="41"/>
      <c r="C1" s="41"/>
      <c r="D1" s="41"/>
      <c r="E1" s="42"/>
    </row>
    <row r="2" spans="1:5" ht="15">
      <c r="A2" s="41" t="s">
        <v>76</v>
      </c>
      <c r="B2" s="41"/>
      <c r="C2" s="41"/>
      <c r="D2" s="41"/>
      <c r="E2" s="42"/>
    </row>
    <row r="3" spans="1:5" ht="15">
      <c r="A3" s="41"/>
      <c r="B3" s="41"/>
      <c r="C3" s="41"/>
      <c r="D3" s="41"/>
      <c r="E3" s="42"/>
    </row>
    <row r="4" spans="1:5" ht="15.75">
      <c r="A4" s="43" t="s">
        <v>77</v>
      </c>
      <c r="B4" s="43" t="s">
        <v>78</v>
      </c>
      <c r="C4" s="43" t="s">
        <v>79</v>
      </c>
      <c r="D4" s="43" t="s">
        <v>80</v>
      </c>
      <c r="E4" s="42"/>
    </row>
    <row r="5" spans="1:5" ht="15">
      <c r="A5" s="41" t="s">
        <v>81</v>
      </c>
      <c r="B5" s="44">
        <f>Datum2</f>
        <v>42810</v>
      </c>
      <c r="C5" s="41" t="s">
        <v>82</v>
      </c>
      <c r="D5" s="45" t="s">
        <v>83</v>
      </c>
      <c r="E5" s="42"/>
    </row>
    <row r="6" spans="1:5" ht="15">
      <c r="A6" s="41" t="s">
        <v>84</v>
      </c>
      <c r="B6" s="54">
        <f>UT2</f>
        <v>0.12743055555555555</v>
      </c>
      <c r="C6" s="41"/>
      <c r="D6" s="45" t="s">
        <v>85</v>
      </c>
      <c r="E6" s="55"/>
    </row>
    <row r="7" spans="1:5" ht="15">
      <c r="A7" s="41" t="s">
        <v>86</v>
      </c>
      <c r="B7" s="46">
        <f>YEAR(date)</f>
        <v>2017</v>
      </c>
      <c r="C7" s="41"/>
      <c r="D7" s="45" t="s">
        <v>87</v>
      </c>
      <c r="E7" s="42"/>
    </row>
    <row r="8" spans="1:5" ht="15">
      <c r="A8" s="41" t="s">
        <v>88</v>
      </c>
      <c r="B8" s="46">
        <f>MONTH(date)</f>
        <v>3</v>
      </c>
      <c r="C8" s="41"/>
      <c r="D8" s="45" t="s">
        <v>89</v>
      </c>
      <c r="E8" s="42"/>
    </row>
    <row r="9" spans="1:5" ht="15">
      <c r="A9" s="41" t="s">
        <v>90</v>
      </c>
      <c r="B9" s="46">
        <f>DAY(date)</f>
        <v>16</v>
      </c>
      <c r="C9" s="41"/>
      <c r="D9" s="45" t="s">
        <v>91</v>
      </c>
      <c r="E9" s="42"/>
    </row>
    <row r="10" spans="1:5" ht="15">
      <c r="A10" s="41" t="s">
        <v>92</v>
      </c>
      <c r="B10" s="46">
        <f>HOUR(time)</f>
        <v>3</v>
      </c>
      <c r="C10" s="41"/>
      <c r="D10" s="45" t="s">
        <v>114</v>
      </c>
      <c r="E10" s="42"/>
    </row>
    <row r="11" spans="1:5" ht="15">
      <c r="A11" s="41" t="s">
        <v>93</v>
      </c>
      <c r="B11" s="46">
        <f>MINUTE(time)</f>
        <v>3</v>
      </c>
      <c r="C11" s="41"/>
      <c r="D11" s="45" t="s">
        <v>94</v>
      </c>
      <c r="E11" s="42"/>
    </row>
    <row r="12" spans="1:5" ht="15">
      <c r="A12" s="41" t="s">
        <v>95</v>
      </c>
      <c r="B12" s="46">
        <f>SECOND(time)</f>
        <v>30</v>
      </c>
      <c r="C12" s="41"/>
      <c r="D12" s="45" t="s">
        <v>96</v>
      </c>
      <c r="E12" s="42"/>
    </row>
    <row r="13" spans="1:5" ht="15">
      <c r="A13" s="41" t="s">
        <v>97</v>
      </c>
      <c r="B13" s="46">
        <f>(hours+minutes/60+seconds/3600)/24</f>
        <v>0.12743055555555555</v>
      </c>
      <c r="C13" s="41"/>
      <c r="D13" s="45" t="s">
        <v>98</v>
      </c>
      <c r="E13" s="42"/>
    </row>
    <row r="14" spans="1:5" ht="15">
      <c r="A14" s="41"/>
      <c r="B14" s="46"/>
      <c r="C14" s="41"/>
      <c r="D14" s="45"/>
      <c r="E14" s="42"/>
    </row>
    <row r="15" spans="1:5" ht="15">
      <c r="A15" s="41" t="s">
        <v>99</v>
      </c>
      <c r="B15" s="46">
        <f>IF(month&gt;2,month+1,month+13)</f>
        <v>4</v>
      </c>
      <c r="C15" s="41"/>
      <c r="D15" s="45" t="s">
        <v>100</v>
      </c>
      <c r="E15" s="42"/>
    </row>
    <row r="16" spans="1:5" ht="15">
      <c r="A16" s="41"/>
      <c r="B16" s="46">
        <f>10000*year+100*month+day+days</f>
        <v>20170316.127430554</v>
      </c>
      <c r="C16" s="41"/>
      <c r="D16" s="45" t="s">
        <v>101</v>
      </c>
      <c r="E16" s="42"/>
    </row>
    <row r="17" spans="1:5" ht="15">
      <c r="A17" s="41"/>
      <c r="B17" s="46">
        <v>-63.5</v>
      </c>
      <c r="C17" s="41"/>
      <c r="D17" s="45" t="s">
        <v>102</v>
      </c>
      <c r="E17" s="42"/>
    </row>
    <row r="18" spans="1:5" ht="15">
      <c r="A18" s="41"/>
      <c r="B18" s="46">
        <f>IF(month&lt;3,year+4712-1,year+4712)</f>
        <v>6729</v>
      </c>
      <c r="C18" s="41"/>
      <c r="D18" s="45" t="s">
        <v>103</v>
      </c>
      <c r="E18" s="42"/>
    </row>
    <row r="19" spans="1:5" ht="15">
      <c r="A19" s="41"/>
      <c r="B19" s="46">
        <f>INT((6724+88)/100)</f>
        <v>68</v>
      </c>
      <c r="C19" s="41"/>
      <c r="D19" s="45" t="s">
        <v>104</v>
      </c>
      <c r="E19" s="42"/>
    </row>
    <row r="20" spans="1:5" ht="15">
      <c r="A20" s="41"/>
      <c r="B20" s="46">
        <f>IF(kk&gt;=15821015,b0+38-a+INT(a/4),B17)</f>
        <v>-76.5</v>
      </c>
      <c r="C20" s="41"/>
      <c r="D20" s="45" t="s">
        <v>105</v>
      </c>
      <c r="E20" s="42"/>
    </row>
    <row r="21" spans="1:5" ht="15">
      <c r="A21" s="41"/>
      <c r="B21" s="41"/>
      <c r="C21" s="41"/>
      <c r="D21" s="45"/>
      <c r="E21" s="42"/>
    </row>
    <row r="22" spans="1:5" ht="15.75">
      <c r="A22" s="47" t="s">
        <v>106</v>
      </c>
      <c r="B22" s="48">
        <f>INT(365.25*yoffset)+INT(30.6001*moffset)+day+days+b+deltat/3600/24</f>
        <v>2457828.6281944443</v>
      </c>
      <c r="C22" s="41"/>
      <c r="D22" s="45" t="s">
        <v>107</v>
      </c>
      <c r="E22" s="56"/>
    </row>
    <row r="23" spans="1:5" ht="15.75">
      <c r="A23" s="47" t="s">
        <v>108</v>
      </c>
      <c r="B23" s="49">
        <f>(B22-2451545)/36525</f>
        <v>0.17203636398204922</v>
      </c>
      <c r="C23" s="41"/>
      <c r="D23" s="45" t="s">
        <v>109</v>
      </c>
      <c r="E23" s="46"/>
    </row>
    <row r="24" spans="1:5" ht="15.75">
      <c r="A24" s="47" t="s">
        <v>110</v>
      </c>
      <c r="B24" s="50">
        <f>MOD(280.46061837+360.98564736629*(B22-2451545)+0.000387933*(B23^2)-(B23^3)/38710000+geogrLaenge,360)/360</f>
        <v>0.669220028934069</v>
      </c>
      <c r="C24" s="41"/>
      <c r="D24" s="45" t="s">
        <v>111</v>
      </c>
      <c r="E24" s="57"/>
    </row>
    <row r="25" spans="1:5" ht="15">
      <c r="A25" s="41"/>
      <c r="B25" s="41"/>
      <c r="C25" s="41"/>
      <c r="D25" s="41"/>
      <c r="E25" s="42"/>
    </row>
    <row r="26" spans="1:5" ht="15">
      <c r="A26" s="41" t="s">
        <v>112</v>
      </c>
      <c r="B26" s="51">
        <v>66</v>
      </c>
      <c r="C26" s="41"/>
      <c r="D26" s="45" t="s">
        <v>113</v>
      </c>
      <c r="E26" s="42"/>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Universität Duisburg-Essen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Udo</dc:creator>
  <cp:keywords/>
  <dc:description/>
  <cp:lastModifiedBy>Udo</cp:lastModifiedBy>
  <dcterms:created xsi:type="dcterms:W3CDTF">2015-12-28T11:51:28Z</dcterms:created>
  <dcterms:modified xsi:type="dcterms:W3CDTF">2017-11-23T20:22:37Z</dcterms:modified>
  <cp:category/>
  <cp:version/>
  <cp:contentType/>
  <cp:contentStatus/>
</cp:coreProperties>
</file>