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375" windowWidth="21285" windowHeight="8835" activeTab="1"/>
  </bookViews>
  <sheets>
    <sheet name="Einleitung" sheetId="1" r:id="rId1"/>
    <sheet name="Ein- und Ausgabe" sheetId="2" r:id="rId2"/>
    <sheet name="Abschätzung" sheetId="3" r:id="rId3"/>
    <sheet name="genaue Rechnung" sheetId="4" r:id="rId4"/>
    <sheet name="jul. Datum" sheetId="5" r:id="rId5"/>
  </sheets>
  <externalReferences>
    <externalReference r:id="rId8"/>
  </externalReferences>
  <definedNames>
    <definedName name="a">'jul. Datum'!$B$22</definedName>
    <definedName name="AE">'genaue Rechnung'!$M$4</definedName>
    <definedName name="b">'jul. Datum'!$B$23</definedName>
    <definedName name="b0">'jul. Datum'!$B$20</definedName>
    <definedName name="date">'jul. Datum'!$B$7</definedName>
    <definedName name="Datum">'Ein- und Ausgabe'!$C$2</definedName>
    <definedName name="day">'jul. Datum'!$B$12</definedName>
    <definedName name="days">'jul. Datum'!$B$16</definedName>
    <definedName name="dec1">'Ein- und Ausgabe'!$M$11</definedName>
    <definedName name="dec2">'Ein- und Ausgabe'!$M$12</definedName>
    <definedName name="deltat">'jul. Datum'!$B$29</definedName>
    <definedName name="flag">'[1]Visibility'!$D$5</definedName>
    <definedName name="flagMonet">'[1]Visibility'!$D$8</definedName>
    <definedName name="Grad">'genaue Rechnung'!$M$2</definedName>
    <definedName name="hours">'jul. Datum'!$B$13</definedName>
    <definedName name="jd">'jul. Datum'!$B$25</definedName>
    <definedName name="kk">'jul. Datum'!$B$19</definedName>
    <definedName name="lambda1">'Ein- und Ausgabe'!$M$6</definedName>
    <definedName name="lambda2">'Ein- und Ausgabe'!$M$7</definedName>
    <definedName name="longitude">'[1]Calculation'!$B$7</definedName>
    <definedName name="lst1">'jul. Datum'!$B$27</definedName>
    <definedName name="lst2">'jul. Datum'!$E$27</definedName>
    <definedName name="minutes">'jul. Datum'!$B$14</definedName>
    <definedName name="moffset">'jul. Datum'!$B$18</definedName>
    <definedName name="month">'jul. Datum'!$B$11</definedName>
    <definedName name="Name">'Ein- und Ausgabe'!$C$3</definedName>
    <definedName name="Ort1">'Ein- und Ausgabe'!$C$6</definedName>
    <definedName name="Ort2">'Ein- und Ausgabe'!$C$7</definedName>
    <definedName name="phi1">'Ein- und Ausgabe'!$H$6</definedName>
    <definedName name="phi2">'Ein- und Ausgabe'!$H$7</definedName>
    <definedName name="piS">'genaue Rechnung'!$M$5</definedName>
    <definedName name="RE">'genaue Rechnung'!$M$3</definedName>
    <definedName name="rec1">'Ein- und Ausgabe'!$I$11</definedName>
    <definedName name="rec2">'Ein- und Ausgabe'!$I$12</definedName>
    <definedName name="seconds">'jul. Datum'!$B$15</definedName>
    <definedName name="STdurchUT">'genaue Rechnung'!$M$6</definedName>
    <definedName name="T">'jul. Datum'!$B$26</definedName>
    <definedName name="time">'jul. Datum'!$B$8</definedName>
    <definedName name="timezone">'[1]Visibility'!$D$4</definedName>
    <definedName name="UT1">'Ein- und Ausgabe'!$D$11</definedName>
    <definedName name="UT2">'Ein- und Ausgabe'!$D$12</definedName>
    <definedName name="year">'jul. Datum'!$B$10</definedName>
    <definedName name="yoffset">'jul. Datum'!$B$21</definedName>
    <definedName name="zeit">'[1]Visibility'!$D$7</definedName>
  </definedNames>
  <calcPr fullCalcOnLoad="1"/>
</workbook>
</file>

<file path=xl/sharedStrings.xml><?xml version="1.0" encoding="utf-8"?>
<sst xmlns="http://schemas.openxmlformats.org/spreadsheetml/2006/main" count="179" uniqueCount="143">
  <si>
    <t>∆ RA</t>
  </si>
  <si>
    <t>∆ DEC</t>
  </si>
  <si>
    <t>Parallaxe in °</t>
  </si>
  <si>
    <t>Parallaxe in "</t>
  </si>
  <si>
    <t>Beobachtungsorte:</t>
  </si>
  <si>
    <t>km</t>
  </si>
  <si>
    <t xml:space="preserve">Sehnenlänge ∆ = </t>
  </si>
  <si>
    <t xml:space="preserve">Berechnung des Abstandes: </t>
  </si>
  <si>
    <t>d=</t>
  </si>
  <si>
    <t>Grad</t>
  </si>
  <si>
    <t>Rektaszension</t>
  </si>
  <si>
    <t>Deklination</t>
  </si>
  <si>
    <t>x</t>
  </si>
  <si>
    <t>y</t>
  </si>
  <si>
    <t>z</t>
  </si>
  <si>
    <t>Delta proj.</t>
  </si>
  <si>
    <t>Delta/RE</t>
  </si>
  <si>
    <t>Delta in km</t>
  </si>
  <si>
    <t>Parallaxenw. in "</t>
  </si>
  <si>
    <t>Abstand</t>
  </si>
  <si>
    <t>in RE</t>
  </si>
  <si>
    <t>in km</t>
  </si>
  <si>
    <t>Allgemeine vektorielle Rechnung</t>
  </si>
  <si>
    <t>eS</t>
  </si>
  <si>
    <t>e2</t>
  </si>
  <si>
    <t>eT</t>
  </si>
  <si>
    <t>e1</t>
  </si>
  <si>
    <t>eS-eT</t>
  </si>
  <si>
    <t>e1-e2</t>
  </si>
  <si>
    <t>e1+e2</t>
  </si>
  <si>
    <t>lambda+mu</t>
  </si>
  <si>
    <t>lambda-mu</t>
  </si>
  <si>
    <t>lambda</t>
  </si>
  <si>
    <t>mu</t>
  </si>
  <si>
    <t>Projektionsw. in Grad</t>
  </si>
  <si>
    <t>e1*e2</t>
  </si>
  <si>
    <t>P1=eT+lambda*e1</t>
  </si>
  <si>
    <t>P2=eS+mu*e2</t>
  </si>
  <si>
    <t>(eS-eT)*(e1-e2)</t>
  </si>
  <si>
    <t>(eS-eT)*(e1+e2)</t>
  </si>
  <si>
    <t>AE/RE</t>
  </si>
  <si>
    <t>RE in km</t>
  </si>
  <si>
    <t>in AE</t>
  </si>
  <si>
    <t>|P1-P2|/RE</t>
  </si>
  <si>
    <t>Entfernung Teide – Cerro Tololo auf der EO=</t>
  </si>
  <si>
    <t>Abschätzung des Abstandes von der Erde</t>
  </si>
  <si>
    <t>aus "genaue Rechnung"</t>
  </si>
  <si>
    <t>Sky Motion</t>
  </si>
  <si>
    <t>Datum</t>
  </si>
  <si>
    <t>°</t>
  </si>
  <si>
    <t>"</t>
  </si>
  <si>
    <t>´</t>
  </si>
  <si>
    <t>N/S</t>
  </si>
  <si>
    <t>E/W</t>
  </si>
  <si>
    <t>geogr. Breite</t>
  </si>
  <si>
    <t>geogr. Länge</t>
  </si>
  <si>
    <t>N</t>
  </si>
  <si>
    <t>Objekt</t>
  </si>
  <si>
    <t>Messergebnisse:</t>
  </si>
  <si>
    <t>Rekt. in h</t>
  </si>
  <si>
    <t>Dekl. in °</t>
  </si>
  <si>
    <t>Rekt. in °</t>
  </si>
  <si>
    <t>h</t>
  </si>
  <si>
    <t>min</t>
  </si>
  <si>
    <t>s</t>
  </si>
  <si>
    <t>Uhrzeit</t>
  </si>
  <si>
    <t>UT</t>
  </si>
  <si>
    <t>MPC-Eph. (zum Vergleich)</t>
  </si>
  <si>
    <t>Auswertungsergebnisse:</t>
  </si>
  <si>
    <t>Parallaxenwinkel in "</t>
  </si>
  <si>
    <t>proj. Basislänge in km</t>
  </si>
  <si>
    <t>vereinfachte Berechnung der Entfernung</t>
  </si>
  <si>
    <t>Delta/AE</t>
  </si>
  <si>
    <t>Delta/km</t>
  </si>
  <si>
    <t>AE =</t>
  </si>
  <si>
    <t>RE =</t>
  </si>
  <si>
    <t>vektorielle Berechnung der Entfernung</t>
  </si>
  <si>
    <t>nach MPC:</t>
  </si>
  <si>
    <t>AE</t>
  </si>
  <si>
    <t>Berücksichtigung des Projektionswinkels</t>
  </si>
  <si>
    <t>Entf. in AE</t>
  </si>
  <si>
    <t>piS in "</t>
  </si>
  <si>
    <t>Parallaxe</t>
  </si>
  <si>
    <t>in "</t>
  </si>
  <si>
    <t>Entf. in km</t>
  </si>
  <si>
    <t>Kurzanleitung</t>
  </si>
  <si>
    <r>
      <t>In diese Tabelle können die Positionen eingesetzt werden, die von zwei weit voneinander entfernten Teleskopen</t>
    </r>
    <r>
      <rPr>
        <sz val="11"/>
        <color theme="1"/>
        <rFont val="Calibri"/>
        <family val="2"/>
      </rPr>
      <t xml:space="preserve"> fotografiert und ausgemessen wurden.</t>
    </r>
  </si>
  <si>
    <t>2. Auf dem Tabellenblatt "Abschätzung" werden der Parallaxenwinkel und die lineare Entfernung zwischen den Beobachtungsorten berechnet. Die einfachste Abschätzung der Entfernung ergibt sich dann aus diesen beiden Werten ohne Berücksichtigung des Projektionswinkel.</t>
  </si>
  <si>
    <t>Based on Numerical Recipes algorithm</t>
  </si>
  <si>
    <t>DO NOT ENTER THE DATE OR TIME HERE - ONLY DO SO IN THE "Visibility" SHEET!!!</t>
  </si>
  <si>
    <t>Quantity</t>
  </si>
  <si>
    <t>Value</t>
  </si>
  <si>
    <t>Unit</t>
  </si>
  <si>
    <t>Name</t>
  </si>
  <si>
    <t>Date:</t>
  </si>
  <si>
    <t xml:space="preserve"> dd-mmm-yyyy</t>
  </si>
  <si>
    <t xml:space="preserve"> date</t>
  </si>
  <si>
    <t>Time (UT):</t>
  </si>
  <si>
    <t xml:space="preserve"> time</t>
  </si>
  <si>
    <t>Year:</t>
  </si>
  <si>
    <t xml:space="preserve"> year</t>
  </si>
  <si>
    <t>Month:</t>
  </si>
  <si>
    <t xml:space="preserve"> month</t>
  </si>
  <si>
    <t>Day:</t>
  </si>
  <si>
    <t xml:space="preserve"> day</t>
  </si>
  <si>
    <t>Hour:</t>
  </si>
  <si>
    <t xml:space="preserve"> hour</t>
  </si>
  <si>
    <t>Minute:</t>
  </si>
  <si>
    <t>Seconds:</t>
  </si>
  <si>
    <t xml:space="preserve"> seconds</t>
  </si>
  <si>
    <t>Decimal time:</t>
  </si>
  <si>
    <t xml:space="preserve"> days</t>
  </si>
  <si>
    <t>Month offset:</t>
  </si>
  <si>
    <t xml:space="preserve"> moffset</t>
  </si>
  <si>
    <t>kk</t>
  </si>
  <si>
    <t>b0</t>
  </si>
  <si>
    <t xml:space="preserve"> yoffset</t>
  </si>
  <si>
    <t>a</t>
  </si>
  <si>
    <t>b</t>
  </si>
  <si>
    <t>Julian Date:</t>
  </si>
  <si>
    <t xml:space="preserve"> jd</t>
  </si>
  <si>
    <t>Julian Centuries:</t>
  </si>
  <si>
    <t xml:space="preserve"> T</t>
  </si>
  <si>
    <t>Sideral Time:</t>
  </si>
  <si>
    <t>lst</t>
  </si>
  <si>
    <t>TDT-UTC in s</t>
  </si>
  <si>
    <t>deltat</t>
  </si>
  <si>
    <t xml:space="preserve"> minutes</t>
  </si>
  <si>
    <t>STdurchUT</t>
  </si>
  <si>
    <t>1) Es wird der Projektionswinkel berechnet (Die dafür erforderlichen Sternzeiten werden auf "jul. Datum" berechnet.). Mit der projizierten Basislänge wird dann wie auf "Abschätzung" die Entfernung berechnet.</t>
  </si>
  <si>
    <t>2) Es wird mit Hilfe von Vektorrechnung der Schnittpunkt (genauer: die größte Annäherung) der Sichtlinien der beiden Beobachter berechnet.</t>
  </si>
  <si>
    <t>3. Die genaue Auswertung der Messungen geschieht auf dem Tabellenblatt "genaue Rechnung" auf zwei unterschiedliche Weisen:</t>
  </si>
  <si>
    <t>4. Auf "Ein- und Ausgabe" werden die drei Auswertungsergebnisse zusammengefasst. Sie können ggf. mit der MPC-Angabe verglichen werden.</t>
  </si>
  <si>
    <r>
      <t xml:space="preserve">1. Im Tabellenblatt "Ein- und Ausgabe" müssen in den gelb unterlegten Feldern der Name des Kleinplaneten, die Positionen der Teleskope, die Beobachtungszeitpunkte und die auf den Fotos gemessenen Positionen des Kleinplaneten (entsprechend dem Ausgabeformat von AstroImageJ) eingetragen werden. Zum Vergleich </t>
    </r>
    <r>
      <rPr>
        <i/>
        <sz val="11"/>
        <color indexed="8"/>
        <rFont val="Calibri"/>
        <family val="2"/>
      </rPr>
      <t>können</t>
    </r>
    <r>
      <rPr>
        <sz val="11"/>
        <color theme="1"/>
        <rFont val="Calibri"/>
        <family val="2"/>
      </rPr>
      <t xml:space="preserve"> auch die MPC-Daten eingetragen werden.</t>
    </r>
  </si>
  <si>
    <t>S</t>
  </si>
  <si>
    <t>W</t>
  </si>
  <si>
    <t>Dekl.</t>
  </si>
  <si>
    <t>Rekt.</t>
  </si>
  <si>
    <t>dMPC(%)</t>
  </si>
  <si>
    <t>Elektra</t>
  </si>
  <si>
    <t>Ft. Davis, McD</t>
  </si>
  <si>
    <t>Cerro Tololo</t>
  </si>
  <si>
    <t>0.41"/min</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</si>
</sst>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
    <numFmt numFmtId="165" formatCode="0.00000000"/>
    <numFmt numFmtId="166" formatCode="0.0000"/>
    <numFmt numFmtId="167" formatCode="0.00000E+00"/>
    <numFmt numFmtId="168" formatCode="0.0"/>
    <numFmt numFmtId="169" formatCode="0.00000"/>
    <numFmt numFmtId="170" formatCode="[$-407]dddd\,\ d\.\ mmmm\ yyyy"/>
    <numFmt numFmtId="171" formatCode="0.000"/>
    <numFmt numFmtId="172" formatCode="d\-mmm\-yyyy"/>
    <numFmt numFmtId="173" formatCode="h:mm"/>
    <numFmt numFmtId="174" formatCode="h:mm:ss;@"/>
    <numFmt numFmtId="175" formatCode="[$-F400]h:mm:ss\ AM/PM"/>
    <numFmt numFmtId="176" formatCode="0.0000000"/>
  </numFmts>
  <fonts count="41">
    <font>
      <sz val="11"/>
      <color theme="1"/>
      <name val="Calibri"/>
      <family val="2"/>
    </font>
    <font>
      <sz val="11"/>
      <color indexed="8"/>
      <name val="Calibri"/>
      <family val="2"/>
    </font>
    <font>
      <sz val="11"/>
      <color indexed="10"/>
      <name val="Calibri"/>
      <family val="2"/>
    </font>
    <font>
      <sz val="8"/>
      <name val="Calibri"/>
      <family val="2"/>
    </font>
    <font>
      <b/>
      <sz val="11"/>
      <color indexed="10"/>
      <name val="Calibri"/>
      <family val="2"/>
    </font>
    <font>
      <b/>
      <sz val="11"/>
      <color indexed="8"/>
      <name val="Calibri"/>
      <family val="2"/>
    </font>
    <font>
      <sz val="11"/>
      <name val="Calibri"/>
      <family val="2"/>
    </font>
    <font>
      <b/>
      <sz val="12"/>
      <name val="Arial"/>
      <family val="2"/>
    </font>
    <font>
      <b/>
      <sz val="10"/>
      <name val="Arial"/>
      <family val="2"/>
    </font>
    <font>
      <sz val="12"/>
      <name val="Arial"/>
      <family val="2"/>
    </font>
    <font>
      <i/>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b/>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2"/>
        <bgColor indexed="64"/>
      </patternFill>
    </fill>
    <fill>
      <patternFill patternType="solid">
        <fgColor indexed="15"/>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8"/>
      </top>
      <bottom style="thin">
        <color indexed="8"/>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6" borderId="2" applyNumberFormat="0" applyAlignment="0" applyProtection="0"/>
    <xf numFmtId="41" fontId="1" fillId="0" borderId="0" applyFont="0" applyFill="0" applyBorder="0" applyAlignment="0" applyProtection="0"/>
    <xf numFmtId="0" fontId="28" fillId="2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8" borderId="0" applyNumberFormat="0" applyBorder="0" applyAlignment="0" applyProtection="0"/>
    <xf numFmtId="43" fontId="1" fillId="0" borderId="0" applyFont="0" applyFill="0" applyBorder="0" applyAlignment="0" applyProtection="0"/>
    <xf numFmtId="0" fontId="32" fillId="29" borderId="0" applyNumberFormat="0" applyBorder="0" applyAlignment="0" applyProtection="0"/>
    <xf numFmtId="0" fontId="1" fillId="30" borderId="4" applyNumberFormat="0" applyFont="0" applyAlignment="0" applyProtection="0"/>
    <xf numFmtId="9" fontId="1" fillId="0" borderId="0" applyFont="0" applyFill="0" applyBorder="0" applyAlignment="0" applyProtection="0"/>
    <xf numFmtId="0" fontId="33" fillId="31"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32" borderId="9" applyNumberFormat="0" applyAlignment="0" applyProtection="0"/>
  </cellStyleXfs>
  <cellXfs count="91">
    <xf numFmtId="0" fontId="0" fillId="0" borderId="0" xfId="0" applyFont="1" applyAlignment="1">
      <alignment/>
    </xf>
    <xf numFmtId="14" fontId="0" fillId="0" borderId="0" xfId="0" applyNumberFormat="1" applyAlignment="1">
      <alignment/>
    </xf>
    <xf numFmtId="21" fontId="0" fillId="0" borderId="0" xfId="0" applyNumberFormat="1" applyAlignment="1">
      <alignment/>
    </xf>
    <xf numFmtId="0" fontId="0" fillId="0" borderId="0" xfId="0" applyAlignment="1">
      <alignment horizontal="center"/>
    </xf>
    <xf numFmtId="0" fontId="0" fillId="0" borderId="0" xfId="0" applyAlignment="1">
      <alignment vertical="center"/>
    </xf>
    <xf numFmtId="165" fontId="0" fillId="0" borderId="0" xfId="0" applyNumberFormat="1" applyAlignment="1">
      <alignment/>
    </xf>
    <xf numFmtId="1" fontId="0" fillId="0" borderId="0" xfId="0" applyNumberFormat="1" applyAlignment="1">
      <alignment/>
    </xf>
    <xf numFmtId="0" fontId="0" fillId="0" borderId="0" xfId="0" applyAlignment="1">
      <alignment horizontal="right"/>
    </xf>
    <xf numFmtId="0" fontId="1" fillId="0" borderId="0" xfId="0" applyFont="1" applyAlignment="1">
      <alignment horizontal="right"/>
    </xf>
    <xf numFmtId="2" fontId="0" fillId="0" borderId="0" xfId="0" applyNumberFormat="1" applyAlignment="1">
      <alignment/>
    </xf>
    <xf numFmtId="0" fontId="0" fillId="0" borderId="0" xfId="0" applyAlignment="1">
      <alignment/>
    </xf>
    <xf numFmtId="2" fontId="4" fillId="0" borderId="0" xfId="0" applyNumberFormat="1" applyFont="1" applyAlignment="1">
      <alignment/>
    </xf>
    <xf numFmtId="0" fontId="4" fillId="0" borderId="0" xfId="0" applyFont="1" applyAlignment="1">
      <alignment horizontal="left"/>
    </xf>
    <xf numFmtId="0" fontId="4" fillId="0" borderId="0" xfId="0" applyFont="1" applyAlignment="1">
      <alignment/>
    </xf>
    <xf numFmtId="0" fontId="4" fillId="0" borderId="0" xfId="0" applyFont="1" applyAlignment="1">
      <alignment/>
    </xf>
    <xf numFmtId="1" fontId="4" fillId="0" borderId="0" xfId="0" applyNumberFormat="1" applyFont="1" applyAlignment="1">
      <alignment/>
    </xf>
    <xf numFmtId="0" fontId="5" fillId="0" borderId="0" xfId="0" applyFont="1" applyAlignment="1">
      <alignment horizontal="center"/>
    </xf>
    <xf numFmtId="167" fontId="0" fillId="0" borderId="0" xfId="0" applyNumberFormat="1" applyAlignment="1">
      <alignment/>
    </xf>
    <xf numFmtId="0" fontId="2" fillId="0" borderId="0" xfId="0" applyFont="1" applyAlignment="1">
      <alignment horizontal="center"/>
    </xf>
    <xf numFmtId="1" fontId="4" fillId="0" borderId="0" xfId="0" applyNumberFormat="1" applyFont="1" applyAlignment="1">
      <alignment horizontal="center"/>
    </xf>
    <xf numFmtId="0" fontId="2" fillId="0" borderId="0" xfId="0" applyFont="1" applyAlignment="1">
      <alignment/>
    </xf>
    <xf numFmtId="2" fontId="2" fillId="0" borderId="0" xfId="0" applyNumberFormat="1" applyFont="1" applyAlignment="1">
      <alignment/>
    </xf>
    <xf numFmtId="0" fontId="0" fillId="33" borderId="0" xfId="0" applyFill="1" applyAlignment="1">
      <alignment/>
    </xf>
    <xf numFmtId="0" fontId="0" fillId="0" borderId="0" xfId="0" applyFill="1" applyAlignment="1">
      <alignment/>
    </xf>
    <xf numFmtId="2" fontId="0" fillId="0" borderId="0" xfId="0" applyNumberFormat="1" applyFill="1" applyAlignment="1">
      <alignment/>
    </xf>
    <xf numFmtId="0" fontId="0" fillId="0" borderId="0" xfId="0" applyFill="1" applyAlignment="1">
      <alignment/>
    </xf>
    <xf numFmtId="1" fontId="0" fillId="0" borderId="0" xfId="0" applyNumberFormat="1" applyFill="1" applyAlignment="1">
      <alignment/>
    </xf>
    <xf numFmtId="0" fontId="6" fillId="0" borderId="0" xfId="0" applyFont="1" applyAlignment="1">
      <alignment/>
    </xf>
    <xf numFmtId="165" fontId="0" fillId="0" borderId="0" xfId="0" applyNumberFormat="1" applyFill="1" applyAlignment="1">
      <alignment/>
    </xf>
    <xf numFmtId="0" fontId="0" fillId="0" borderId="0" xfId="0" applyFill="1" applyAlignment="1">
      <alignment vertical="center"/>
    </xf>
    <xf numFmtId="0" fontId="4" fillId="0" borderId="0" xfId="0" applyFont="1" applyFill="1" applyAlignment="1">
      <alignment horizontal="right"/>
    </xf>
    <xf numFmtId="1" fontId="4" fillId="0" borderId="0" xfId="0" applyNumberFormat="1" applyFont="1" applyFill="1" applyAlignment="1">
      <alignment horizontal="right"/>
    </xf>
    <xf numFmtId="0" fontId="4" fillId="0" borderId="0" xfId="0" applyFont="1" applyFill="1" applyAlignment="1">
      <alignment horizontal="left"/>
    </xf>
    <xf numFmtId="0" fontId="5" fillId="0" borderId="0" xfId="0" applyFont="1" applyAlignment="1">
      <alignment/>
    </xf>
    <xf numFmtId="0" fontId="5" fillId="33" borderId="0" xfId="0" applyFont="1" applyFill="1" applyAlignment="1">
      <alignment horizontal="center"/>
    </xf>
    <xf numFmtId="0" fontId="5" fillId="0" borderId="0" xfId="0" applyFont="1" applyAlignment="1">
      <alignment vertical="center"/>
    </xf>
    <xf numFmtId="49" fontId="0" fillId="0" borderId="0" xfId="0" applyNumberFormat="1" applyAlignment="1">
      <alignment horizontal="center"/>
    </xf>
    <xf numFmtId="0" fontId="5" fillId="0" borderId="0" xfId="0" applyFont="1" applyAlignment="1">
      <alignment/>
    </xf>
    <xf numFmtId="2" fontId="5" fillId="0" borderId="0" xfId="0" applyNumberFormat="1" applyFont="1" applyAlignment="1">
      <alignment horizontal="center"/>
    </xf>
    <xf numFmtId="0" fontId="5" fillId="33" borderId="0" xfId="0" applyFont="1" applyFill="1" applyAlignment="1">
      <alignment/>
    </xf>
    <xf numFmtId="0" fontId="0" fillId="33" borderId="0" xfId="0" applyFill="1" applyAlignment="1">
      <alignment horizontal="center"/>
    </xf>
    <xf numFmtId="14" fontId="5" fillId="33" borderId="0" xfId="0" applyNumberFormat="1" applyFont="1" applyFill="1" applyAlignment="1">
      <alignment horizontal="center"/>
    </xf>
    <xf numFmtId="21" fontId="5" fillId="33" borderId="0" xfId="0" applyNumberFormat="1" applyFont="1" applyFill="1" applyAlignment="1">
      <alignment horizontal="center"/>
    </xf>
    <xf numFmtId="168" fontId="0" fillId="0" borderId="0" xfId="0" applyNumberFormat="1" applyAlignment="1">
      <alignment horizontal="center"/>
    </xf>
    <xf numFmtId="1" fontId="0" fillId="0" borderId="0" xfId="0" applyNumberFormat="1" applyAlignment="1">
      <alignment horizontal="center"/>
    </xf>
    <xf numFmtId="0" fontId="5" fillId="0" borderId="0" xfId="0" applyFont="1" applyFill="1" applyAlignment="1">
      <alignment horizontal="center"/>
    </xf>
    <xf numFmtId="164" fontId="6" fillId="0" borderId="0" xfId="0" applyNumberFormat="1" applyFont="1" applyFill="1" applyAlignment="1">
      <alignment/>
    </xf>
    <xf numFmtId="164" fontId="0" fillId="0" borderId="0" xfId="0" applyNumberFormat="1" applyAlignment="1">
      <alignment/>
    </xf>
    <xf numFmtId="2" fontId="4" fillId="0" borderId="0" xfId="0" applyNumberFormat="1" applyFont="1" applyAlignment="1">
      <alignment horizontal="left"/>
    </xf>
    <xf numFmtId="2" fontId="4" fillId="0" borderId="0" xfId="0" applyNumberFormat="1" applyFont="1" applyAlignment="1">
      <alignment horizontal="right"/>
    </xf>
    <xf numFmtId="0" fontId="5" fillId="33" borderId="0" xfId="0" applyNumberFormat="1" applyFont="1" applyFill="1" applyAlignment="1">
      <alignment horizontal="center"/>
    </xf>
    <xf numFmtId="0" fontId="5" fillId="0" borderId="0" xfId="0" applyFont="1" applyAlignment="1">
      <alignment/>
    </xf>
    <xf numFmtId="166" fontId="4" fillId="0" borderId="0" xfId="0" applyNumberFormat="1" applyFont="1" applyAlignment="1">
      <alignment horizontal="center"/>
    </xf>
    <xf numFmtId="0" fontId="5" fillId="0" borderId="0" xfId="0" applyFont="1" applyAlignment="1">
      <alignment horizontal="left"/>
    </xf>
    <xf numFmtId="0" fontId="0" fillId="0" borderId="0" xfId="0" applyAlignment="1">
      <alignment horizontal="left"/>
    </xf>
    <xf numFmtId="171" fontId="4" fillId="0" borderId="0" xfId="0" applyNumberFormat="1" applyFont="1" applyAlignment="1">
      <alignment/>
    </xf>
    <xf numFmtId="2" fontId="4" fillId="0" borderId="0" xfId="0" applyNumberFormat="1" applyFont="1" applyFill="1" applyAlignment="1">
      <alignment/>
    </xf>
    <xf numFmtId="2" fontId="2" fillId="0" borderId="0" xfId="0" applyNumberFormat="1" applyFont="1" applyAlignment="1">
      <alignment horizontal="center"/>
    </xf>
    <xf numFmtId="1" fontId="5" fillId="0" borderId="0" xfId="0" applyNumberFormat="1" applyFont="1" applyAlignment="1">
      <alignment horizontal="center"/>
    </xf>
    <xf numFmtId="2" fontId="4" fillId="0" borderId="0" xfId="0" applyNumberFormat="1" applyFont="1" applyAlignment="1">
      <alignment horizontal="center"/>
    </xf>
    <xf numFmtId="171" fontId="4" fillId="0" borderId="0" xfId="0" applyNumberFormat="1" applyFont="1" applyAlignment="1">
      <alignment horizontal="center"/>
    </xf>
    <xf numFmtId="0" fontId="0" fillId="0" borderId="0" xfId="0" applyAlignment="1">
      <alignment horizontal="left" wrapText="1"/>
    </xf>
    <xf numFmtId="0" fontId="8" fillId="0" borderId="0" xfId="0" applyFont="1" applyAlignment="1">
      <alignment horizontal="left"/>
    </xf>
    <xf numFmtId="0" fontId="0" fillId="0" borderId="0" xfId="0" applyAlignment="1">
      <alignment wrapText="1"/>
    </xf>
    <xf numFmtId="0" fontId="9" fillId="0" borderId="0" xfId="0" applyFont="1" applyAlignment="1">
      <alignment/>
    </xf>
    <xf numFmtId="0" fontId="7" fillId="0" borderId="10" xfId="0" applyFont="1" applyBorder="1" applyAlignment="1">
      <alignment horizontal="center"/>
    </xf>
    <xf numFmtId="0" fontId="9" fillId="0" borderId="0" xfId="0" applyFont="1" applyAlignment="1">
      <alignment horizontal="center"/>
    </xf>
    <xf numFmtId="173" fontId="9" fillId="34" borderId="0" xfId="0" applyNumberFormat="1" applyFont="1" applyFill="1" applyAlignment="1">
      <alignment/>
    </xf>
    <xf numFmtId="173" fontId="9" fillId="0" borderId="0" xfId="0" applyNumberFormat="1" applyFont="1" applyAlignment="1">
      <alignment/>
    </xf>
    <xf numFmtId="0" fontId="9" fillId="0" borderId="0" xfId="0" applyFont="1" applyFill="1" applyAlignment="1">
      <alignment/>
    </xf>
    <xf numFmtId="0" fontId="7" fillId="0" borderId="0" xfId="0" applyFont="1" applyAlignment="1">
      <alignment/>
    </xf>
    <xf numFmtId="164" fontId="9" fillId="35" borderId="0" xfId="0" applyNumberFormat="1" applyFont="1" applyFill="1" applyAlignment="1">
      <alignment/>
    </xf>
    <xf numFmtId="0" fontId="9" fillId="35" borderId="0" xfId="0" applyFont="1" applyFill="1" applyAlignment="1">
      <alignment/>
    </xf>
    <xf numFmtId="1" fontId="9" fillId="34" borderId="0" xfId="0" applyNumberFormat="1" applyFont="1" applyFill="1" applyAlignment="1">
      <alignment/>
    </xf>
    <xf numFmtId="14" fontId="9" fillId="34" borderId="0" xfId="0" applyNumberFormat="1" applyFont="1" applyFill="1" applyAlignment="1">
      <alignment/>
    </xf>
    <xf numFmtId="174" fontId="9" fillId="35" borderId="0" xfId="0" applyNumberFormat="1" applyFont="1" applyFill="1" applyAlignment="1">
      <alignment/>
    </xf>
    <xf numFmtId="171" fontId="6" fillId="33" borderId="0" xfId="0" applyNumberFormat="1" applyFont="1" applyFill="1" applyAlignment="1">
      <alignment horizontal="center"/>
    </xf>
    <xf numFmtId="1" fontId="6" fillId="0" borderId="0" xfId="0" applyNumberFormat="1" applyFont="1" applyFill="1" applyAlignment="1">
      <alignment horizontal="center"/>
    </xf>
    <xf numFmtId="21" fontId="5" fillId="0" borderId="0" xfId="0" applyNumberFormat="1" applyFont="1" applyFill="1" applyAlignment="1">
      <alignment horizontal="center"/>
    </xf>
    <xf numFmtId="0" fontId="0" fillId="0" borderId="0" xfId="0" applyAlignment="1">
      <alignment horizontal="center"/>
    </xf>
    <xf numFmtId="166" fontId="0" fillId="0" borderId="0" xfId="0" applyNumberFormat="1" applyAlignment="1">
      <alignment/>
    </xf>
    <xf numFmtId="0" fontId="29" fillId="0" borderId="0" xfId="0" applyFont="1" applyAlignment="1">
      <alignment/>
    </xf>
    <xf numFmtId="168" fontId="29" fillId="0" borderId="0" xfId="0" applyNumberFormat="1" applyFont="1" applyAlignment="1">
      <alignment horizontal="center"/>
    </xf>
    <xf numFmtId="0" fontId="0" fillId="0" borderId="0" xfId="0" applyAlignment="1">
      <alignment horizontal="left" wrapText="1"/>
    </xf>
    <xf numFmtId="0" fontId="7" fillId="0" borderId="0" xfId="0" applyFont="1" applyAlignment="1">
      <alignment horizontal="center"/>
    </xf>
    <xf numFmtId="0" fontId="8" fillId="0" borderId="0" xfId="0" applyFont="1" applyAlignment="1">
      <alignment horizontal="left"/>
    </xf>
    <xf numFmtId="0" fontId="5" fillId="0" borderId="0" xfId="0" applyFont="1" applyAlignment="1">
      <alignment horizontal="center"/>
    </xf>
    <xf numFmtId="0" fontId="5" fillId="0" borderId="0" xfId="0" applyFont="1" applyAlignment="1">
      <alignment horizontal="left"/>
    </xf>
    <xf numFmtId="0" fontId="0" fillId="0" borderId="0" xfId="0" applyAlignment="1">
      <alignment horizontal="left"/>
    </xf>
    <xf numFmtId="0" fontId="0" fillId="0" borderId="0" xfId="0" applyAlignment="1">
      <alignment horizontal="center"/>
    </xf>
    <xf numFmtId="0" fontId="2" fillId="0" borderId="0" xfId="0" applyFont="1" applyAlignment="1">
      <alignment horizont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8</xdr:row>
      <xdr:rowOff>114300</xdr:rowOff>
    </xdr:from>
    <xdr:to>
      <xdr:col>2</xdr:col>
      <xdr:colOff>876300</xdr:colOff>
      <xdr:row>10</xdr:row>
      <xdr:rowOff>114300</xdr:rowOff>
    </xdr:to>
    <xdr:pic>
      <xdr:nvPicPr>
        <xdr:cNvPr id="1" name="Grafik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162425" y="1638300"/>
          <a:ext cx="533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do\Astronomie\Monet\PlanetFinders\candidates_v19Sout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isibility"/>
      <sheetName val="Scheduling"/>
      <sheetName val="Database"/>
      <sheetName val="Calculation"/>
      <sheetName val="JulianDate"/>
      <sheetName val="Sun"/>
      <sheetName val="Moon"/>
    </sheetNames>
    <sheetDataSet>
      <sheetData sheetId="0">
        <row r="4">
          <cell r="D4">
            <v>1</v>
          </cell>
        </row>
        <row r="5">
          <cell r="D5">
            <v>0</v>
          </cell>
        </row>
        <row r="7">
          <cell r="D7">
            <v>0.625</v>
          </cell>
        </row>
        <row r="8">
          <cell r="D8" t="str">
            <v>S</v>
          </cell>
        </row>
      </sheetData>
      <sheetData sheetId="3">
        <row r="7">
          <cell r="B7">
            <v>20.810805555555557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M22"/>
  <sheetViews>
    <sheetView zoomScalePageLayoutView="0" workbookViewId="0" topLeftCell="A4">
      <selection activeCell="K4" sqref="K4"/>
    </sheetView>
  </sheetViews>
  <sheetFormatPr defaultColWidth="11.421875" defaultRowHeight="15"/>
  <sheetData>
    <row r="3" spans="1:13" ht="15.75">
      <c r="A3" s="84" t="str">
        <f>CONCATENATE("Bestimmung der Entfernung des Kleinplaneten ",Name," durch Messung seiner Parallaxe")</f>
        <v>Bestimmung der Entfernung des Kleinplaneten Elektra durch Messung seiner Parallaxe</v>
      </c>
      <c r="B3" s="84"/>
      <c r="C3" s="84"/>
      <c r="D3" s="84"/>
      <c r="E3" s="84"/>
      <c r="F3" s="84"/>
      <c r="G3" s="84"/>
      <c r="H3" s="84"/>
      <c r="I3" s="84"/>
      <c r="J3" s="84"/>
      <c r="K3" s="84"/>
      <c r="L3" s="84"/>
      <c r="M3" s="84"/>
    </row>
    <row r="5" spans="1:13" ht="15" customHeight="1">
      <c r="A5" s="83" t="s">
        <v>86</v>
      </c>
      <c r="B5" s="83"/>
      <c r="C5" s="83"/>
      <c r="D5" s="83"/>
      <c r="E5" s="83"/>
      <c r="F5" s="83"/>
      <c r="G5" s="83"/>
      <c r="H5" s="83"/>
      <c r="I5" s="83"/>
      <c r="J5" s="83"/>
      <c r="K5" s="83"/>
      <c r="L5" s="83"/>
      <c r="M5" s="83"/>
    </row>
    <row r="7" spans="1:2" ht="15">
      <c r="A7" s="85" t="s">
        <v>85</v>
      </c>
      <c r="B7" s="85"/>
    </row>
    <row r="8" spans="1:2" ht="15">
      <c r="A8" s="62"/>
      <c r="B8" s="62"/>
    </row>
    <row r="9" spans="1:13" ht="15">
      <c r="A9" s="83" t="s">
        <v>133</v>
      </c>
      <c r="B9" s="83"/>
      <c r="C9" s="83"/>
      <c r="D9" s="83"/>
      <c r="E9" s="83"/>
      <c r="F9" s="83"/>
      <c r="G9" s="83"/>
      <c r="H9" s="83"/>
      <c r="I9" s="83"/>
      <c r="J9" s="83"/>
      <c r="K9" s="83"/>
      <c r="L9" s="83"/>
      <c r="M9" s="83"/>
    </row>
    <row r="10" spans="1:13" ht="15">
      <c r="A10" s="83"/>
      <c r="B10" s="83"/>
      <c r="C10" s="83"/>
      <c r="D10" s="83"/>
      <c r="E10" s="83"/>
      <c r="F10" s="83"/>
      <c r="G10" s="83"/>
      <c r="H10" s="83"/>
      <c r="I10" s="83"/>
      <c r="J10" s="83"/>
      <c r="K10" s="83"/>
      <c r="L10" s="83"/>
      <c r="M10" s="83"/>
    </row>
    <row r="11" spans="1:13" ht="15">
      <c r="A11" s="83"/>
      <c r="B11" s="83"/>
      <c r="C11" s="83"/>
      <c r="D11" s="83"/>
      <c r="E11" s="83"/>
      <c r="F11" s="83"/>
      <c r="G11" s="83"/>
      <c r="H11" s="83"/>
      <c r="I11" s="83"/>
      <c r="J11" s="83"/>
      <c r="K11" s="83"/>
      <c r="L11" s="83"/>
      <c r="M11" s="83"/>
    </row>
    <row r="12" spans="1:13" ht="15">
      <c r="A12" s="61"/>
      <c r="B12" s="61"/>
      <c r="C12" s="61"/>
      <c r="D12" s="61"/>
      <c r="E12" s="61"/>
      <c r="F12" s="61"/>
      <c r="G12" s="61"/>
      <c r="H12" s="61"/>
      <c r="I12" s="61"/>
      <c r="J12" s="61"/>
      <c r="K12" s="61"/>
      <c r="L12" s="61"/>
      <c r="M12" s="61"/>
    </row>
    <row r="13" spans="1:13" ht="15">
      <c r="A13" s="83" t="s">
        <v>87</v>
      </c>
      <c r="B13" s="83"/>
      <c r="C13" s="83"/>
      <c r="D13" s="83"/>
      <c r="E13" s="83"/>
      <c r="F13" s="83"/>
      <c r="G13" s="83"/>
      <c r="H13" s="83"/>
      <c r="I13" s="83"/>
      <c r="J13" s="83"/>
      <c r="K13" s="83"/>
      <c r="L13" s="83"/>
      <c r="M13" s="83"/>
    </row>
    <row r="14" spans="1:13" ht="15">
      <c r="A14" s="83"/>
      <c r="B14" s="83"/>
      <c r="C14" s="83"/>
      <c r="D14" s="83"/>
      <c r="E14" s="83"/>
      <c r="F14" s="83"/>
      <c r="G14" s="83"/>
      <c r="H14" s="83"/>
      <c r="I14" s="83"/>
      <c r="J14" s="83"/>
      <c r="K14" s="83"/>
      <c r="L14" s="83"/>
      <c r="M14" s="83"/>
    </row>
    <row r="15" spans="1:13" ht="15">
      <c r="A15" s="61"/>
      <c r="B15" s="61"/>
      <c r="C15" s="61"/>
      <c r="D15" s="61"/>
      <c r="E15" s="61"/>
      <c r="F15" s="61"/>
      <c r="G15" s="61"/>
      <c r="H15" s="61"/>
      <c r="I15" s="61"/>
      <c r="J15" s="61"/>
      <c r="K15" s="61"/>
      <c r="L15" s="61"/>
      <c r="M15" s="61"/>
    </row>
    <row r="16" spans="1:13" ht="15" customHeight="1">
      <c r="A16" s="83" t="s">
        <v>131</v>
      </c>
      <c r="B16" s="83"/>
      <c r="C16" s="83"/>
      <c r="D16" s="83"/>
      <c r="E16" s="83"/>
      <c r="F16" s="83"/>
      <c r="G16" s="83"/>
      <c r="H16" s="83"/>
      <c r="I16" s="83"/>
      <c r="J16" s="83"/>
      <c r="K16" s="83"/>
      <c r="L16" s="83"/>
      <c r="M16" s="83"/>
    </row>
    <row r="17" spans="1:13" ht="15">
      <c r="A17" s="61"/>
      <c r="B17" s="83" t="s">
        <v>129</v>
      </c>
      <c r="C17" s="83"/>
      <c r="D17" s="83"/>
      <c r="E17" s="83"/>
      <c r="F17" s="83"/>
      <c r="G17" s="83"/>
      <c r="H17" s="83"/>
      <c r="I17" s="83"/>
      <c r="J17" s="83"/>
      <c r="K17" s="83"/>
      <c r="L17" s="83"/>
      <c r="M17" s="83"/>
    </row>
    <row r="18" spans="1:13" ht="15">
      <c r="A18" s="61"/>
      <c r="B18" s="83"/>
      <c r="C18" s="83"/>
      <c r="D18" s="83"/>
      <c r="E18" s="83"/>
      <c r="F18" s="83"/>
      <c r="G18" s="83"/>
      <c r="H18" s="83"/>
      <c r="I18" s="83"/>
      <c r="J18" s="83"/>
      <c r="K18" s="83"/>
      <c r="L18" s="83"/>
      <c r="M18" s="83"/>
    </row>
    <row r="19" spans="1:13" ht="15">
      <c r="A19" s="61"/>
      <c r="B19" s="83" t="s">
        <v>130</v>
      </c>
      <c r="C19" s="83"/>
      <c r="D19" s="83"/>
      <c r="E19" s="83"/>
      <c r="F19" s="83"/>
      <c r="G19" s="83"/>
      <c r="H19" s="83"/>
      <c r="I19" s="83"/>
      <c r="J19" s="83"/>
      <c r="K19" s="83"/>
      <c r="L19" s="83"/>
      <c r="M19" s="83"/>
    </row>
    <row r="20" spans="1:13" ht="15">
      <c r="A20" s="61"/>
      <c r="B20" s="61"/>
      <c r="C20" s="61"/>
      <c r="D20" s="61"/>
      <c r="E20" s="61"/>
      <c r="F20" s="61"/>
      <c r="G20" s="61"/>
      <c r="H20" s="61"/>
      <c r="I20" s="61"/>
      <c r="J20" s="61"/>
      <c r="K20" s="61"/>
      <c r="L20" s="61"/>
      <c r="M20" s="61"/>
    </row>
    <row r="21" spans="1:13" ht="15" customHeight="1">
      <c r="A21" s="83" t="s">
        <v>132</v>
      </c>
      <c r="B21" s="83"/>
      <c r="C21" s="83"/>
      <c r="D21" s="83"/>
      <c r="E21" s="83"/>
      <c r="F21" s="83"/>
      <c r="G21" s="83"/>
      <c r="H21" s="83"/>
      <c r="I21" s="83"/>
      <c r="J21" s="83"/>
      <c r="K21" s="83"/>
      <c r="L21" s="83"/>
      <c r="M21" s="83"/>
    </row>
    <row r="22" spans="1:13" ht="15">
      <c r="A22" s="63"/>
      <c r="B22" s="63"/>
      <c r="C22" s="63"/>
      <c r="D22" s="63"/>
      <c r="E22" s="63"/>
      <c r="F22" s="63"/>
      <c r="G22" s="63"/>
      <c r="H22" s="63"/>
      <c r="I22" s="63"/>
      <c r="J22" s="63"/>
      <c r="K22" s="63"/>
      <c r="L22" s="63"/>
      <c r="M22" s="63"/>
    </row>
  </sheetData>
  <sheetProtection/>
  <mergeCells count="9">
    <mergeCell ref="A13:M14"/>
    <mergeCell ref="A21:M21"/>
    <mergeCell ref="A3:M3"/>
    <mergeCell ref="A7:B7"/>
    <mergeCell ref="A9:M11"/>
    <mergeCell ref="A5:M5"/>
    <mergeCell ref="B17:M18"/>
    <mergeCell ref="B19:M19"/>
    <mergeCell ref="A16:M16"/>
  </mergeCells>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B2:P27"/>
  <sheetViews>
    <sheetView tabSelected="1" zoomScalePageLayoutView="0" workbookViewId="0" topLeftCell="A1">
      <selection activeCell="C3" sqref="C3"/>
    </sheetView>
  </sheetViews>
  <sheetFormatPr defaultColWidth="11.421875" defaultRowHeight="15"/>
  <cols>
    <col min="3" max="3" width="15.28125" style="0" customWidth="1"/>
    <col min="5" max="5" width="13.57421875" style="0" customWidth="1"/>
    <col min="6" max="6" width="13.140625" style="0" customWidth="1"/>
    <col min="15" max="15" width="12.00390625" style="0" customWidth="1"/>
  </cols>
  <sheetData>
    <row r="2" spans="2:3" ht="15">
      <c r="B2" s="37" t="s">
        <v>48</v>
      </c>
      <c r="C2" s="41">
        <v>42851</v>
      </c>
    </row>
    <row r="3" spans="2:3" ht="15">
      <c r="B3" s="37" t="s">
        <v>57</v>
      </c>
      <c r="C3" s="50" t="s">
        <v>139</v>
      </c>
    </row>
    <row r="4" spans="2:13" ht="15">
      <c r="B4" s="87" t="s">
        <v>4</v>
      </c>
      <c r="C4" s="87"/>
      <c r="D4" s="86" t="s">
        <v>54</v>
      </c>
      <c r="E4" s="86"/>
      <c r="F4" s="86"/>
      <c r="G4" s="86"/>
      <c r="H4" s="86"/>
      <c r="I4" s="86" t="s">
        <v>55</v>
      </c>
      <c r="J4" s="86"/>
      <c r="K4" s="86"/>
      <c r="L4" s="86"/>
      <c r="M4" s="86"/>
    </row>
    <row r="5" spans="4:13" ht="15">
      <c r="D5" s="3" t="s">
        <v>49</v>
      </c>
      <c r="E5" s="36" t="s">
        <v>51</v>
      </c>
      <c r="F5" s="36" t="s">
        <v>50</v>
      </c>
      <c r="G5" s="3" t="s">
        <v>52</v>
      </c>
      <c r="H5" s="3"/>
      <c r="I5" s="3" t="s">
        <v>49</v>
      </c>
      <c r="J5" s="36" t="s">
        <v>51</v>
      </c>
      <c r="K5" s="36" t="s">
        <v>50</v>
      </c>
      <c r="L5" s="3" t="s">
        <v>53</v>
      </c>
      <c r="M5" s="3"/>
    </row>
    <row r="6" spans="3:13" ht="15">
      <c r="C6" s="39" t="s">
        <v>140</v>
      </c>
      <c r="D6" s="40">
        <v>30</v>
      </c>
      <c r="E6" s="40">
        <v>40</v>
      </c>
      <c r="F6" s="40">
        <v>47.4</v>
      </c>
      <c r="G6" s="40" t="s">
        <v>56</v>
      </c>
      <c r="H6" s="38">
        <f>IF(OR(G6="N",G6="n"),D6+(E6+F6/60)/60,-(D6+(E6+F6/60)/60))</f>
        <v>30.679833333333335</v>
      </c>
      <c r="I6" s="40">
        <v>104</v>
      </c>
      <c r="J6" s="40">
        <v>0</v>
      </c>
      <c r="K6" s="40">
        <v>54.62</v>
      </c>
      <c r="L6" s="40" t="s">
        <v>135</v>
      </c>
      <c r="M6" s="38">
        <f>IF(OR(L6="E",L6="e"),I6+(J6+K6/60)/60,-(I6+(J6+K6/60)/60))</f>
        <v>-104.01517222222222</v>
      </c>
    </row>
    <row r="7" spans="3:13" ht="15">
      <c r="C7" s="39" t="s">
        <v>141</v>
      </c>
      <c r="D7" s="40">
        <v>30</v>
      </c>
      <c r="E7" s="40">
        <v>10</v>
      </c>
      <c r="F7" s="40">
        <v>2.39</v>
      </c>
      <c r="G7" s="40" t="s">
        <v>134</v>
      </c>
      <c r="H7" s="38">
        <f>IF(OR(G7="N",G7="n"),D7+(E7+F7/60)/60,-(D7+(E7+F7/60)/60))</f>
        <v>-30.167330555555555</v>
      </c>
      <c r="I7" s="40">
        <v>70</v>
      </c>
      <c r="J7" s="40">
        <v>48</v>
      </c>
      <c r="K7" s="40">
        <v>16.78</v>
      </c>
      <c r="L7" s="40" t="s">
        <v>135</v>
      </c>
      <c r="M7" s="38">
        <f>IF(OR(L7="E",L7="e"),I7+(J7+K7/60)/60,-(I7+(J7+K7/60)/60))</f>
        <v>-70.80466111111112</v>
      </c>
    </row>
    <row r="9" spans="2:14" ht="15">
      <c r="B9" s="87" t="s">
        <v>58</v>
      </c>
      <c r="C9" s="87"/>
      <c r="D9" s="16" t="s">
        <v>65</v>
      </c>
      <c r="E9" s="33" t="s">
        <v>10</v>
      </c>
      <c r="F9" s="33"/>
      <c r="G9" s="33"/>
      <c r="H9" s="33"/>
      <c r="I9" s="33"/>
      <c r="J9" s="86" t="s">
        <v>11</v>
      </c>
      <c r="K9" s="86"/>
      <c r="L9" s="86"/>
      <c r="M9" s="86"/>
      <c r="N9" s="79" t="s">
        <v>138</v>
      </c>
    </row>
    <row r="10" spans="4:15" ht="15">
      <c r="D10" s="3" t="s">
        <v>66</v>
      </c>
      <c r="E10" s="3" t="s">
        <v>59</v>
      </c>
      <c r="F10" s="3" t="s">
        <v>62</v>
      </c>
      <c r="G10" s="3" t="s">
        <v>63</v>
      </c>
      <c r="H10" s="3" t="s">
        <v>64</v>
      </c>
      <c r="I10" s="3" t="s">
        <v>61</v>
      </c>
      <c r="J10" s="3" t="s">
        <v>49</v>
      </c>
      <c r="K10" s="36" t="s">
        <v>51</v>
      </c>
      <c r="L10" s="36" t="s">
        <v>50</v>
      </c>
      <c r="M10" s="3" t="s">
        <v>60</v>
      </c>
      <c r="N10" s="79" t="s">
        <v>137</v>
      </c>
      <c r="O10" t="s">
        <v>136</v>
      </c>
    </row>
    <row r="11" spans="3:15" ht="15">
      <c r="C11" t="str">
        <f>Ort1</f>
        <v>Ft. Davis, McD</v>
      </c>
      <c r="D11" s="42">
        <v>0.23194444444444443</v>
      </c>
      <c r="E11" s="34">
        <v>13.276901</v>
      </c>
      <c r="F11" s="3">
        <f>INT(I11/15)</f>
        <v>13</v>
      </c>
      <c r="G11" s="3">
        <f>INT((I11/15-F11)*60)</f>
        <v>16</v>
      </c>
      <c r="H11" s="43">
        <f>(I11/15-F11-G11/60)*3600</f>
        <v>36.84360000000184</v>
      </c>
      <c r="I11" s="3">
        <f>E11*15</f>
        <v>199.153515</v>
      </c>
      <c r="J11" s="3">
        <f>IF(dec1&gt;0,INT(M11),INT(M11)+1)</f>
        <v>18</v>
      </c>
      <c r="K11" s="3">
        <f>INT(ABS(M11-J11)*60)</f>
        <v>2</v>
      </c>
      <c r="L11" s="44">
        <f>(ABS(M11-J11)*60-K11)*60</f>
        <v>53.05560000000071</v>
      </c>
      <c r="M11" s="34">
        <v>18.048071</v>
      </c>
      <c r="N11" s="80">
        <f>ABS(rec2-I16)/I16*100</f>
        <v>0.00013473705352892804</v>
      </c>
      <c r="O11" s="80">
        <f>ABS(dec1-M16)/M16*100</f>
        <v>8.557400765863928E-05</v>
      </c>
    </row>
    <row r="12" spans="3:15" ht="15">
      <c r="C12" t="str">
        <f>Ort2</f>
        <v>Cerro Tololo</v>
      </c>
      <c r="D12" s="42">
        <v>0.23194444444444443</v>
      </c>
      <c r="E12" s="34">
        <v>13.276871</v>
      </c>
      <c r="F12" s="3">
        <f>INT(I12/15)</f>
        <v>13</v>
      </c>
      <c r="G12" s="3">
        <f>INT((I12/15-F12)*60)</f>
        <v>16</v>
      </c>
      <c r="H12" s="43">
        <f>(I12/15-F12-G12/60)*3600</f>
        <v>36.735599999999536</v>
      </c>
      <c r="I12" s="3">
        <f>E12*15</f>
        <v>199.153065</v>
      </c>
      <c r="J12" s="3">
        <f>IF(dec1&gt;0,INT(M12),INT(M12)+1)</f>
        <v>18</v>
      </c>
      <c r="K12" s="3">
        <f>INT(ABS(M12-J12)*60)</f>
        <v>2</v>
      </c>
      <c r="L12" s="44">
        <f>(ABS(M12-J12)*60-K12)*60</f>
        <v>55.723200000005875</v>
      </c>
      <c r="M12" s="34">
        <v>18.048812</v>
      </c>
      <c r="N12" s="80">
        <f>ABS(rec2-I17)/I17*100</f>
        <v>7.448212951687956E-05</v>
      </c>
      <c r="O12" s="80">
        <f>ABS(dec1-M17)/M17*100</f>
        <v>0.004531519330216117</v>
      </c>
    </row>
    <row r="14" spans="2:13" ht="15">
      <c r="B14" s="87" t="s">
        <v>67</v>
      </c>
      <c r="C14" s="87"/>
      <c r="D14" s="16" t="s">
        <v>65</v>
      </c>
      <c r="E14" s="86" t="s">
        <v>10</v>
      </c>
      <c r="F14" s="86"/>
      <c r="G14" s="86"/>
      <c r="H14" s="86"/>
      <c r="I14" s="86"/>
      <c r="J14" s="86" t="s">
        <v>11</v>
      </c>
      <c r="K14" s="86"/>
      <c r="L14" s="86"/>
      <c r="M14" s="86"/>
    </row>
    <row r="15" spans="4:16" ht="15">
      <c r="D15" s="3" t="s">
        <v>66</v>
      </c>
      <c r="E15" s="3" t="s">
        <v>59</v>
      </c>
      <c r="F15" s="3" t="s">
        <v>62</v>
      </c>
      <c r="G15" s="3" t="s">
        <v>63</v>
      </c>
      <c r="H15" s="3" t="s">
        <v>64</v>
      </c>
      <c r="I15" s="3" t="s">
        <v>61</v>
      </c>
      <c r="J15" s="3" t="s">
        <v>49</v>
      </c>
      <c r="K15" s="36" t="s">
        <v>51</v>
      </c>
      <c r="L15" s="36" t="s">
        <v>50</v>
      </c>
      <c r="M15" s="3" t="s">
        <v>60</v>
      </c>
      <c r="N15" s="3" t="s">
        <v>72</v>
      </c>
      <c r="O15" s="3" t="s">
        <v>73</v>
      </c>
      <c r="P15" t="s">
        <v>47</v>
      </c>
    </row>
    <row r="16" spans="3:16" ht="15">
      <c r="C16" t="str">
        <f>Ort1</f>
        <v>Ft. Davis, McD</v>
      </c>
      <c r="D16" s="78">
        <f>UT1</f>
        <v>0.23194444444444443</v>
      </c>
      <c r="E16" s="45"/>
      <c r="F16" s="22">
        <v>13</v>
      </c>
      <c r="G16" s="22">
        <v>16</v>
      </c>
      <c r="H16" s="22">
        <v>36.8</v>
      </c>
      <c r="I16" s="46">
        <f>((H16/60+G16)/60+F16)*15</f>
        <v>199.15333333333334</v>
      </c>
      <c r="J16" s="22">
        <v>18</v>
      </c>
      <c r="K16" s="22">
        <v>2</v>
      </c>
      <c r="L16" s="22">
        <v>53</v>
      </c>
      <c r="M16" s="46">
        <f>J16+(K16+L16/60)/60</f>
        <v>18.048055555555557</v>
      </c>
      <c r="N16" s="76">
        <v>2.909</v>
      </c>
      <c r="O16" s="77">
        <f>N16*AE*RE</f>
        <v>435180205.3112628</v>
      </c>
      <c r="P16" s="40" t="s">
        <v>142</v>
      </c>
    </row>
    <row r="17" spans="3:15" ht="15">
      <c r="C17" t="str">
        <f>Ort2</f>
        <v>Cerro Tololo</v>
      </c>
      <c r="D17" s="78">
        <f>UT2</f>
        <v>0.23194444444444443</v>
      </c>
      <c r="E17" s="45"/>
      <c r="F17" s="22">
        <v>13</v>
      </c>
      <c r="G17" s="22">
        <v>16</v>
      </c>
      <c r="H17" s="22">
        <v>36.7</v>
      </c>
      <c r="I17" s="46">
        <f>((H17/60+G17)/60+F17)*15</f>
        <v>199.15291666666667</v>
      </c>
      <c r="J17" s="22">
        <v>18</v>
      </c>
      <c r="K17" s="22">
        <v>2</v>
      </c>
      <c r="L17" s="22">
        <v>56</v>
      </c>
      <c r="M17" s="46">
        <f>J17+(K17+L17/60)/60</f>
        <v>18.04888888888889</v>
      </c>
      <c r="N17" s="46"/>
      <c r="O17" s="46"/>
    </row>
    <row r="18" spans="2:3" ht="15">
      <c r="B18" s="87" t="s">
        <v>68</v>
      </c>
      <c r="C18" s="87"/>
    </row>
    <row r="19" spans="3:6" ht="15">
      <c r="C19" s="88" t="s">
        <v>69</v>
      </c>
      <c r="D19" s="88"/>
      <c r="E19" s="88"/>
      <c r="F19" s="11">
        <f>Abschätzung!E4</f>
        <v>3.0803548728587833</v>
      </c>
    </row>
    <row r="20" spans="3:10" ht="15">
      <c r="C20" s="88" t="str">
        <f>CONCATENATE("Bogenlänge ",Ort1,"-",Ort2," in km")</f>
        <v>Bogenlänge Ft. Davis, McD-Cerro Tololo in km</v>
      </c>
      <c r="D20" s="88"/>
      <c r="E20" s="88"/>
      <c r="F20" s="6">
        <f>Abschätzung!D7</f>
        <v>7630.933318808201</v>
      </c>
      <c r="H20" t="s">
        <v>34</v>
      </c>
      <c r="J20" s="6">
        <f>'genaue Rechnung'!B9</f>
        <v>111.03026629098044</v>
      </c>
    </row>
    <row r="21" spans="3:10" ht="15">
      <c r="C21" s="88" t="str">
        <f>CONCATENATE("Länge der Sehne ",Ort1,"-",Ort2," in km")</f>
        <v>Länge der Sehne Ft. Davis, McD-Cerro Tololo in km</v>
      </c>
      <c r="D21" s="88"/>
      <c r="E21" s="88"/>
      <c r="F21" s="6">
        <f>Abschätzung!D8</f>
        <v>7183.87968484938</v>
      </c>
      <c r="H21" t="s">
        <v>70</v>
      </c>
      <c r="J21" s="6">
        <f>'genaue Rechnung'!F10</f>
        <v>6705.368568649312</v>
      </c>
    </row>
    <row r="22" spans="3:10" ht="15">
      <c r="C22" s="54"/>
      <c r="D22" s="54"/>
      <c r="E22" s="54"/>
      <c r="F22" s="6"/>
      <c r="J22" s="6"/>
    </row>
    <row r="23" spans="3:11" ht="15">
      <c r="C23" s="54"/>
      <c r="D23" s="54"/>
      <c r="E23" s="54"/>
      <c r="F23" s="58" t="s">
        <v>3</v>
      </c>
      <c r="G23" s="58" t="s">
        <v>80</v>
      </c>
      <c r="H23" s="16" t="s">
        <v>84</v>
      </c>
      <c r="K23" s="6"/>
    </row>
    <row r="24" spans="3:13" ht="15">
      <c r="C24" s="87" t="s">
        <v>71</v>
      </c>
      <c r="D24" s="87"/>
      <c r="E24" s="87"/>
      <c r="F24" s="59">
        <f>Abschätzung!F4</f>
        <v>2.734864097210649</v>
      </c>
      <c r="G24" s="60">
        <f>1/(F24/3600*Grad)/AE</f>
        <v>3.215570379805459</v>
      </c>
      <c r="H24" s="19">
        <f>Abschätzung!E10</f>
        <v>481000000</v>
      </c>
      <c r="I24" s="14"/>
      <c r="J24" s="14"/>
      <c r="K24" s="14"/>
      <c r="L24" s="15"/>
      <c r="M24" s="14"/>
    </row>
    <row r="25" spans="3:13" ht="15">
      <c r="C25" s="53" t="s">
        <v>79</v>
      </c>
      <c r="D25" s="53"/>
      <c r="E25" s="53"/>
      <c r="F25" s="59">
        <f>'genaue Rechnung'!B12</f>
        <v>2.930027664740624</v>
      </c>
      <c r="G25" s="60">
        <f>1/(F25/3600*Grad)/AE</f>
        <v>3.001387355351967</v>
      </c>
      <c r="H25" s="19">
        <f>ROUND('genaue Rechnung'!F11/10000,0)*10000</f>
        <v>449000000</v>
      </c>
      <c r="I25" s="14"/>
      <c r="J25" s="14"/>
      <c r="K25" s="14"/>
      <c r="L25" s="15"/>
      <c r="M25" s="14"/>
    </row>
    <row r="26" spans="3:9" ht="15">
      <c r="C26" s="87" t="s">
        <v>76</v>
      </c>
      <c r="D26" s="87"/>
      <c r="E26" s="87"/>
      <c r="F26" s="59">
        <f>('genaue Rechnung'!E24+'genaue Rechnung'!E25)/2</f>
        <v>2.9330399900895765</v>
      </c>
      <c r="G26" s="60">
        <f>('genaue Rechnung'!F24+'genaue Rechnung'!F25)/2</f>
        <v>2.9983048350852473</v>
      </c>
      <c r="H26" s="19">
        <f>ROUND('genaue Rechnung'!H24/100000,0)*100000</f>
        <v>448500000</v>
      </c>
      <c r="I26" s="14"/>
    </row>
    <row r="27" spans="3:7" ht="15">
      <c r="C27" s="81" t="s">
        <v>138</v>
      </c>
      <c r="G27" s="82">
        <f>ABS(G26-N16)/N16*100</f>
        <v>3.069949641981693</v>
      </c>
    </row>
  </sheetData>
  <sheetProtection/>
  <mergeCells count="14">
    <mergeCell ref="C26:E26"/>
    <mergeCell ref="C19:E19"/>
    <mergeCell ref="C20:E20"/>
    <mergeCell ref="C21:E21"/>
    <mergeCell ref="C24:E24"/>
    <mergeCell ref="B14:C14"/>
    <mergeCell ref="E14:I14"/>
    <mergeCell ref="J14:M14"/>
    <mergeCell ref="B18:C18"/>
    <mergeCell ref="D4:H4"/>
    <mergeCell ref="I4:M4"/>
    <mergeCell ref="B4:C4"/>
    <mergeCell ref="B9:C9"/>
    <mergeCell ref="J9:M9"/>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1"/>
  <sheetViews>
    <sheetView zoomScale="115" zoomScaleNormal="115" zoomScalePageLayoutView="0" workbookViewId="0" topLeftCell="A1">
      <selection activeCell="E10" sqref="E10"/>
    </sheetView>
  </sheetViews>
  <sheetFormatPr defaultColWidth="11.421875" defaultRowHeight="15"/>
  <cols>
    <col min="2" max="2" width="45.8515625" style="0" customWidth="1"/>
    <col min="3" max="3" width="13.140625" style="0" customWidth="1"/>
    <col min="4" max="4" width="15.140625" style="0" customWidth="1"/>
    <col min="5" max="5" width="19.421875" style="0" customWidth="1"/>
    <col min="6" max="6" width="13.8515625" style="0" customWidth="1"/>
    <col min="7" max="7" width="6.7109375" style="0" customWidth="1"/>
    <col min="8" max="8" width="12.57421875" style="0" customWidth="1"/>
    <col min="9" max="9" width="8.7109375" style="0" customWidth="1"/>
  </cols>
  <sheetData>
    <row r="1" spans="6:10" ht="15">
      <c r="F1" s="20"/>
      <c r="J1" s="20"/>
    </row>
    <row r="2" spans="1:7" ht="15">
      <c r="A2" s="2"/>
      <c r="D2" t="s">
        <v>2</v>
      </c>
      <c r="E2" t="s">
        <v>69</v>
      </c>
      <c r="F2" s="25" t="s">
        <v>3</v>
      </c>
      <c r="G2" s="25"/>
    </row>
    <row r="3" spans="2:7" ht="15">
      <c r="B3" s="8" t="s">
        <v>0</v>
      </c>
      <c r="C3" s="47">
        <f>rec2-rec1</f>
        <v>-0.0004500000000007276</v>
      </c>
      <c r="F3" s="23"/>
      <c r="G3" s="23"/>
    </row>
    <row r="4" spans="2:7" ht="15">
      <c r="B4" s="7" t="s">
        <v>1</v>
      </c>
      <c r="C4">
        <f>dec2-dec1</f>
        <v>0.000741000000001435</v>
      </c>
      <c r="D4" s="27">
        <f>SQRT((C3*COS(dec1*Grad))^2+C4^2)</f>
        <v>0.0008556541313496621</v>
      </c>
      <c r="E4" s="11">
        <f>D4*60*60</f>
        <v>3.0803548728587833</v>
      </c>
      <c r="F4" s="56">
        <f>E4*RE/D8</f>
        <v>2.734864097210649</v>
      </c>
      <c r="G4" s="24"/>
    </row>
    <row r="5" spans="1:4" ht="15">
      <c r="A5" s="4"/>
      <c r="B5" s="4"/>
      <c r="C5" s="4"/>
      <c r="D5" s="4"/>
    </row>
    <row r="6" ht="15">
      <c r="A6" s="35" t="s">
        <v>45</v>
      </c>
    </row>
    <row r="7" spans="1:5" ht="15">
      <c r="A7" s="4" t="s">
        <v>44</v>
      </c>
      <c r="D7" s="6">
        <f>ACOS(SIN(phi1*Grad)*SIN(phi2*Grad)+COS(phi1*Grad)*COS(phi2*Grad)*COS((lambda2-lambda1)*Grad))*RE</f>
        <v>7630.933318808201</v>
      </c>
      <c r="E7" t="s">
        <v>5</v>
      </c>
    </row>
    <row r="8" spans="2:5" ht="15">
      <c r="B8" s="4" t="s">
        <v>6</v>
      </c>
      <c r="C8" s="5"/>
      <c r="D8" s="6">
        <f>2*SIN(D7/RE/2)*RE</f>
        <v>7183.87968484938</v>
      </c>
      <c r="E8" s="5" t="s">
        <v>5</v>
      </c>
    </row>
    <row r="9" spans="1:9" ht="15">
      <c r="A9" s="28"/>
      <c r="B9" s="28"/>
      <c r="C9" s="28"/>
      <c r="D9" s="28"/>
      <c r="E9" s="23"/>
      <c r="F9" s="23"/>
      <c r="G9" s="89" t="s">
        <v>46</v>
      </c>
      <c r="H9" s="89"/>
      <c r="I9" s="89"/>
    </row>
    <row r="10" spans="1:8" ht="15">
      <c r="A10" s="29" t="s">
        <v>7</v>
      </c>
      <c r="B10" s="23"/>
      <c r="C10" s="23"/>
      <c r="D10" s="30" t="s">
        <v>8</v>
      </c>
      <c r="E10" s="31">
        <f>ROUND((D8/2)/TAN(D4*Grad/2)/100000,0)*100000</f>
        <v>481000000</v>
      </c>
      <c r="F10" s="32" t="s">
        <v>5</v>
      </c>
      <c r="H10" s="26">
        <f>ROUND('genaue Rechnung'!H24/100000,0)*100000</f>
        <v>448500000</v>
      </c>
    </row>
    <row r="11" spans="1:6" ht="15">
      <c r="A11" s="29"/>
      <c r="B11" s="23"/>
      <c r="C11" s="23"/>
      <c r="D11" s="23"/>
      <c r="E11" s="23"/>
      <c r="F11" s="23"/>
    </row>
  </sheetData>
  <sheetProtection/>
  <mergeCells count="1">
    <mergeCell ref="G9:I9"/>
  </mergeCells>
  <printOptions/>
  <pageMargins left="0.7" right="0.7" top="0.787401575" bottom="0.7874015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M28"/>
  <sheetViews>
    <sheetView zoomScalePageLayoutView="0" workbookViewId="0" topLeftCell="A4">
      <selection activeCell="C2" sqref="C2"/>
    </sheetView>
  </sheetViews>
  <sheetFormatPr defaultColWidth="11.421875" defaultRowHeight="15"/>
  <cols>
    <col min="1" max="1" width="20.57421875" style="0" customWidth="1"/>
    <col min="2" max="2" width="12.00390625" style="0" bestFit="1" customWidth="1"/>
    <col min="4" max="4" width="13.421875" style="0" customWidth="1"/>
    <col min="5" max="5" width="13.28125" style="0" customWidth="1"/>
    <col min="6" max="6" width="12.00390625" style="0" bestFit="1" customWidth="1"/>
    <col min="9" max="9" width="12.00390625" style="0" bestFit="1" customWidth="1"/>
    <col min="10" max="10" width="13.7109375" style="0" customWidth="1"/>
    <col min="13" max="13" width="12.00390625" style="0" bestFit="1" customWidth="1"/>
  </cols>
  <sheetData>
    <row r="1" spans="1:7" ht="15">
      <c r="A1" s="1">
        <f>Datum</f>
        <v>42851</v>
      </c>
      <c r="C1" t="s">
        <v>10</v>
      </c>
      <c r="D1" t="s">
        <v>11</v>
      </c>
      <c r="E1" t="s">
        <v>12</v>
      </c>
      <c r="F1" t="s">
        <v>13</v>
      </c>
      <c r="G1" t="s">
        <v>14</v>
      </c>
    </row>
    <row r="2" spans="1:13" ht="15">
      <c r="A2" t="str">
        <f>Ort1</f>
        <v>Ft. Davis, McD</v>
      </c>
      <c r="B2" s="2">
        <f>UT1</f>
        <v>0.23194444444444443</v>
      </c>
      <c r="C2" s="9">
        <f>lst1*360</f>
        <v>194.17659430671483</v>
      </c>
      <c r="D2">
        <f>phi1</f>
        <v>30.679833333333335</v>
      </c>
      <c r="E2">
        <f>COS(C2*Grad)*COS(D2*Grad)</f>
        <v>-0.8338400561682657</v>
      </c>
      <c r="F2">
        <f>SIN(C2*Grad)*COS(D2*Grad)</f>
        <v>-0.2106315697934869</v>
      </c>
      <c r="G2">
        <f>SIN(D2*Grad)</f>
        <v>0.5102402400199685</v>
      </c>
      <c r="H2" s="16" t="s">
        <v>25</v>
      </c>
      <c r="L2" t="s">
        <v>9</v>
      </c>
      <c r="M2">
        <f>PI()/180</f>
        <v>0.017453292519943295</v>
      </c>
    </row>
    <row r="3" spans="1:13" ht="15">
      <c r="A3" s="7" t="str">
        <f>Name</f>
        <v>Elektra</v>
      </c>
      <c r="C3">
        <f>rec1</f>
        <v>199.153515</v>
      </c>
      <c r="D3">
        <f>dec1</f>
        <v>18.048071</v>
      </c>
      <c r="E3">
        <f>COS(C3*Grad)*COS(D3*Grad)</f>
        <v>-0.8981635327038602</v>
      </c>
      <c r="F3">
        <f>SIN(C3*Grad)*COS(D3*Grad)</f>
        <v>-0.3119568019201715</v>
      </c>
      <c r="G3">
        <f>SIN(D3*Grad)</f>
        <v>0.30981481929801374</v>
      </c>
      <c r="H3" s="16" t="s">
        <v>26</v>
      </c>
      <c r="L3" t="s">
        <v>41</v>
      </c>
      <c r="M3">
        <v>6378.14</v>
      </c>
    </row>
    <row r="4" spans="1:13" ht="15">
      <c r="A4" t="str">
        <f>Ort2</f>
        <v>Cerro Tololo</v>
      </c>
      <c r="B4" s="2">
        <f>UT2</f>
        <v>0.23194444444444443</v>
      </c>
      <c r="C4">
        <f>lst2*360</f>
        <v>227.38710541790348</v>
      </c>
      <c r="D4">
        <f>phi2</f>
        <v>-30.167330555555555</v>
      </c>
      <c r="E4">
        <f>COS(C4*Grad)*COS(D4*Grad)</f>
        <v>-0.5853440979387008</v>
      </c>
      <c r="F4">
        <f>SIN(C4*Grad)*COS(D4*Grad)</f>
        <v>-0.6362694683630681</v>
      </c>
      <c r="G4">
        <f>SIN(D4*Grad)</f>
        <v>-0.5025270645819063</v>
      </c>
      <c r="H4" s="16" t="s">
        <v>23</v>
      </c>
      <c r="L4" t="s">
        <v>40</v>
      </c>
      <c r="M4">
        <v>23454.78</v>
      </c>
    </row>
    <row r="5" spans="1:13" ht="15">
      <c r="A5" s="7" t="str">
        <f>Name</f>
        <v>Elektra</v>
      </c>
      <c r="B5" s="2"/>
      <c r="C5">
        <f>rec2</f>
        <v>199.153065</v>
      </c>
      <c r="D5">
        <f>dec2</f>
        <v>18.048812</v>
      </c>
      <c r="E5">
        <f>COS(C5*Grad)*COS(D5*Grad)</f>
        <v>-0.8981621976977912</v>
      </c>
      <c r="F5">
        <f>SIN(C5*Grad)*COS(D5*Grad)</f>
        <v>-0.3119484331215177</v>
      </c>
      <c r="G5">
        <f>SIN(D5*Grad)</f>
        <v>0.30982711582381534</v>
      </c>
      <c r="H5" s="16" t="s">
        <v>24</v>
      </c>
      <c r="L5" t="s">
        <v>81</v>
      </c>
      <c r="M5" s="9">
        <f>1/AE/Grad*3600</f>
        <v>8.794147983783962</v>
      </c>
    </row>
    <row r="6" spans="1:13" ht="15">
      <c r="A6" s="12" t="s">
        <v>18</v>
      </c>
      <c r="B6" s="11">
        <f>ACOS(E5*E3+F5*F3+G5*G3)/Grad*3600</f>
        <v>3.0803518593860786</v>
      </c>
      <c r="L6" t="s">
        <v>128</v>
      </c>
      <c r="M6">
        <v>1.0027379093</v>
      </c>
    </row>
    <row r="7" spans="2:6" ht="15">
      <c r="B7" s="9" t="s">
        <v>12</v>
      </c>
      <c r="C7" t="s">
        <v>13</v>
      </c>
      <c r="D7" t="s">
        <v>14</v>
      </c>
      <c r="E7" s="10" t="s">
        <v>16</v>
      </c>
      <c r="F7" s="13" t="s">
        <v>17</v>
      </c>
    </row>
    <row r="8" spans="1:6" ht="15">
      <c r="A8" s="7" t="str">
        <f>CONCATENATE(Ort1,"-",Ort2)</f>
        <v>Ft. Davis, McD-Cerro Tololo</v>
      </c>
      <c r="B8">
        <f>E4-E2</f>
        <v>0.24849595822956494</v>
      </c>
      <c r="C8">
        <f>F4-F2</f>
        <v>-0.4256378985695812</v>
      </c>
      <c r="D8">
        <f>G4-G2</f>
        <v>-1.0127673046018748</v>
      </c>
      <c r="E8" s="9">
        <f>SQRT(B8^2+C8^2+D8^2)</f>
        <v>1.1263283159122413</v>
      </c>
      <c r="F8" s="15">
        <f>E8*RE</f>
        <v>7183.879684852503</v>
      </c>
    </row>
    <row r="9" spans="1:2" ht="15">
      <c r="A9" t="s">
        <v>34</v>
      </c>
      <c r="B9" s="6">
        <f>ACOS((E5*B8+F5*C8+G5*D8)/E8)/Grad</f>
        <v>111.03026629098044</v>
      </c>
    </row>
    <row r="10" spans="1:7" ht="15">
      <c r="A10" s="14" t="s">
        <v>15</v>
      </c>
      <c r="B10" s="14"/>
      <c r="C10" s="14"/>
      <c r="D10" s="11">
        <f>E8*SIN(B9*Grad)</f>
        <v>1.0513047014724217</v>
      </c>
      <c r="E10" s="11" t="s">
        <v>75</v>
      </c>
      <c r="F10" s="15">
        <f>D10*RE</f>
        <v>6705.368568649312</v>
      </c>
      <c r="G10" s="14" t="s">
        <v>5</v>
      </c>
    </row>
    <row r="11" spans="1:7" ht="15">
      <c r="A11" s="14" t="s">
        <v>19</v>
      </c>
      <c r="B11" s="49">
        <f>D11/AE</f>
        <v>3.0013873553519668</v>
      </c>
      <c r="C11" s="48" t="s">
        <v>74</v>
      </c>
      <c r="D11" s="15">
        <f>D10/(B6/3600*Grad)</f>
        <v>70396.8801145622</v>
      </c>
      <c r="E11" s="15" t="s">
        <v>75</v>
      </c>
      <c r="F11" s="15">
        <f>D11*RE</f>
        <v>449001156.93389374</v>
      </c>
      <c r="G11" s="14" t="s">
        <v>5</v>
      </c>
    </row>
    <row r="12" spans="1:7" ht="15">
      <c r="A12" s="14" t="s">
        <v>3</v>
      </c>
      <c r="B12" s="49">
        <f>B6/D10</f>
        <v>2.930027664740624</v>
      </c>
      <c r="C12" s="48"/>
      <c r="D12" s="15"/>
      <c r="E12" s="15"/>
      <c r="F12" s="55">
        <f>RE/(B12/3600*Grad)/(AE*RE)</f>
        <v>3.0013873553519668</v>
      </c>
      <c r="G12" s="14" t="s">
        <v>78</v>
      </c>
    </row>
    <row r="13" spans="1:2" ht="15">
      <c r="A13" s="87" t="s">
        <v>22</v>
      </c>
      <c r="B13" s="87"/>
    </row>
    <row r="14" spans="1:6" ht="15">
      <c r="A14" t="s">
        <v>35</v>
      </c>
      <c r="B14">
        <f>E3*E5+F3*F5+G3*G5</f>
        <v>0.9999999998884883</v>
      </c>
      <c r="F14" s="17"/>
    </row>
    <row r="15" spans="1:4" ht="15">
      <c r="A15" t="s">
        <v>27</v>
      </c>
      <c r="B15">
        <f>E4-E2</f>
        <v>0.24849595822956494</v>
      </c>
      <c r="C15">
        <f>F4-F2</f>
        <v>-0.4256378985695812</v>
      </c>
      <c r="D15">
        <f>G4-G2</f>
        <v>-1.0127673046018748</v>
      </c>
    </row>
    <row r="16" spans="1:4" ht="15">
      <c r="A16" t="s">
        <v>28</v>
      </c>
      <c r="B16">
        <f>E3-E5</f>
        <v>-1.3350060690253684E-06</v>
      </c>
      <c r="C16">
        <f>F3-F5</f>
        <v>-8.368798653790588E-06</v>
      </c>
      <c r="D16">
        <f>G3-G5</f>
        <v>-1.2296525801591685E-05</v>
      </c>
    </row>
    <row r="17" spans="1:4" ht="15">
      <c r="A17" t="s">
        <v>29</v>
      </c>
      <c r="B17">
        <f>E3+E5</f>
        <v>-1.7963257304016513</v>
      </c>
      <c r="C17">
        <f>F3+F5</f>
        <v>-0.6239052350416892</v>
      </c>
      <c r="D17">
        <f>G3+G5</f>
        <v>0.6196419351218291</v>
      </c>
    </row>
    <row r="18" spans="1:2" ht="15">
      <c r="A18" t="s">
        <v>38</v>
      </c>
      <c r="B18">
        <f>B15*B16+C15*C16+D15*D16</f>
        <v>1.568385355223204E-05</v>
      </c>
    </row>
    <row r="19" spans="1:2" ht="15">
      <c r="A19" t="s">
        <v>39</v>
      </c>
      <c r="B19">
        <f>B15*B17+C15*C17+D15*D17</f>
        <v>-0.8083750629705009</v>
      </c>
    </row>
    <row r="20" spans="1:2" ht="15">
      <c r="A20" t="s">
        <v>30</v>
      </c>
      <c r="B20" s="17">
        <f>B18/(1-B14)</f>
        <v>140647.6193211636</v>
      </c>
    </row>
    <row r="21" spans="1:2" ht="15">
      <c r="A21" t="s">
        <v>31</v>
      </c>
      <c r="B21">
        <f>B19/(1+B14)</f>
        <v>-0.40418753150778625</v>
      </c>
    </row>
    <row r="22" spans="1:8" ht="15">
      <c r="A22" t="s">
        <v>32</v>
      </c>
      <c r="B22">
        <f>0.5*(B20+B21)</f>
        <v>70323.60756681605</v>
      </c>
      <c r="E22" s="18" t="s">
        <v>82</v>
      </c>
      <c r="F22" s="90" t="s">
        <v>19</v>
      </c>
      <c r="G22" s="90"/>
      <c r="H22" s="90"/>
    </row>
    <row r="23" spans="1:8" ht="15">
      <c r="A23" t="s">
        <v>33</v>
      </c>
      <c r="B23">
        <f>0.5*(B20-B21)</f>
        <v>70324.01175434755</v>
      </c>
      <c r="E23" s="18" t="s">
        <v>83</v>
      </c>
      <c r="F23" s="18" t="s">
        <v>42</v>
      </c>
      <c r="G23" s="18" t="s">
        <v>20</v>
      </c>
      <c r="H23" s="18" t="s">
        <v>21</v>
      </c>
    </row>
    <row r="24" spans="1:8" ht="15">
      <c r="A24" t="s">
        <v>36</v>
      </c>
      <c r="B24">
        <f>E2+$B$22*E3</f>
        <v>-63162.93364474759</v>
      </c>
      <c r="C24">
        <f>F2+$B$22*F3</f>
        <v>-21938.1383476029</v>
      </c>
      <c r="D24">
        <f>G2+$B$22*G3</f>
        <v>21787.806010937566</v>
      </c>
      <c r="E24" s="57">
        <f>piS/F24</f>
        <v>2.933039990089273</v>
      </c>
      <c r="F24" s="52">
        <f>G24/AE</f>
        <v>2.998304835085557</v>
      </c>
      <c r="G24" s="19">
        <f>SQRT(B24^2+C24^2+D24^2)</f>
        <v>70324.58027986801</v>
      </c>
      <c r="H24" s="19">
        <f>G24*RE</f>
        <v>448540018.46623737</v>
      </c>
    </row>
    <row r="25" spans="1:8" ht="15">
      <c r="A25" t="s">
        <v>37</v>
      </c>
      <c r="B25">
        <f>E4+$B$23*E5</f>
        <v>-63162.95429230804</v>
      </c>
      <c r="C25">
        <f>F4+$B$23*F5</f>
        <v>-21938.101547056274</v>
      </c>
      <c r="D25">
        <f>G4+$B$23*G5</f>
        <v>21787.78320794501</v>
      </c>
      <c r="E25" s="57">
        <f>piS/F25</f>
        <v>2.9330399900898794</v>
      </c>
      <c r="F25" s="52">
        <f>G25/AE</f>
        <v>2.9983048350849373</v>
      </c>
      <c r="G25" s="19">
        <f>SQRT(B25^2+C25^2+D25^2)</f>
        <v>70324.58027985349</v>
      </c>
      <c r="H25" s="19">
        <f>G25*RE</f>
        <v>448540018.46614474</v>
      </c>
    </row>
    <row r="26" spans="1:2" ht="15">
      <c r="A26" s="20" t="s">
        <v>43</v>
      </c>
      <c r="B26" s="21">
        <f>SQRT((B24-B25)^2+(C24-C25)^2+(D24-D25)^2)</f>
        <v>0.04796434565441548</v>
      </c>
    </row>
    <row r="28" spans="4:5" ht="15">
      <c r="D28" s="51" t="s">
        <v>77</v>
      </c>
      <c r="E28" s="51">
        <f>'Ein- und Ausgabe'!N16</f>
        <v>2.909</v>
      </c>
    </row>
  </sheetData>
  <sheetProtection/>
  <mergeCells count="2">
    <mergeCell ref="A13:B13"/>
    <mergeCell ref="F22:H22"/>
  </mergeCells>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3:E29"/>
  <sheetViews>
    <sheetView zoomScalePageLayoutView="0" workbookViewId="0" topLeftCell="A4">
      <selection activeCell="B10" sqref="B10"/>
    </sheetView>
  </sheetViews>
  <sheetFormatPr defaultColWidth="11.421875" defaultRowHeight="15"/>
  <cols>
    <col min="1" max="1" width="20.421875" style="0" customWidth="1"/>
    <col min="2" max="2" width="19.00390625" style="0" customWidth="1"/>
    <col min="5" max="5" width="19.7109375" style="0" customWidth="1"/>
  </cols>
  <sheetData>
    <row r="3" spans="1:4" ht="15.75">
      <c r="A3" s="64" t="s">
        <v>88</v>
      </c>
      <c r="B3" s="64"/>
      <c r="C3" s="64"/>
      <c r="D3" s="64"/>
    </row>
    <row r="4" spans="1:4" ht="15.75">
      <c r="A4" s="64" t="s">
        <v>89</v>
      </c>
      <c r="B4" s="64"/>
      <c r="C4" s="64"/>
      <c r="D4" s="64"/>
    </row>
    <row r="5" spans="1:4" ht="15.75">
      <c r="A5" s="64"/>
      <c r="B5" s="64"/>
      <c r="C5" s="64"/>
      <c r="D5" s="64"/>
    </row>
    <row r="6" spans="1:4" ht="15.75">
      <c r="A6" s="65" t="s">
        <v>90</v>
      </c>
      <c r="B6" s="65" t="s">
        <v>91</v>
      </c>
      <c r="C6" s="65" t="s">
        <v>92</v>
      </c>
      <c r="D6" s="65" t="s">
        <v>93</v>
      </c>
    </row>
    <row r="7" spans="1:4" ht="15.75">
      <c r="A7" s="64" t="s">
        <v>94</v>
      </c>
      <c r="B7" s="74">
        <f>Datum</f>
        <v>42851</v>
      </c>
      <c r="C7" s="64" t="s">
        <v>95</v>
      </c>
      <c r="D7" s="66" t="s">
        <v>96</v>
      </c>
    </row>
    <row r="8" spans="1:5" ht="15.75">
      <c r="A8" s="64" t="s">
        <v>97</v>
      </c>
      <c r="B8" s="67">
        <f>UT1</f>
        <v>0.23194444444444443</v>
      </c>
      <c r="C8" s="64"/>
      <c r="D8" s="66" t="s">
        <v>98</v>
      </c>
      <c r="E8" s="67">
        <f>UT2</f>
        <v>0.23194444444444443</v>
      </c>
    </row>
    <row r="9" spans="1:4" ht="15.75">
      <c r="A9" s="64"/>
      <c r="B9" s="68"/>
      <c r="C9" s="64"/>
      <c r="D9" s="66"/>
    </row>
    <row r="10" spans="1:4" ht="15.75">
      <c r="A10" s="64" t="s">
        <v>99</v>
      </c>
      <c r="B10" s="69">
        <f>YEAR(date)</f>
        <v>2017</v>
      </c>
      <c r="C10" s="64"/>
      <c r="D10" s="66" t="s">
        <v>100</v>
      </c>
    </row>
    <row r="11" spans="1:4" ht="15.75">
      <c r="A11" s="64" t="s">
        <v>101</v>
      </c>
      <c r="B11" s="69">
        <f>MONTH(date)</f>
        <v>4</v>
      </c>
      <c r="C11" s="64"/>
      <c r="D11" s="66" t="s">
        <v>102</v>
      </c>
    </row>
    <row r="12" spans="1:4" ht="15.75">
      <c r="A12" s="64" t="s">
        <v>103</v>
      </c>
      <c r="B12" s="69">
        <f>DAY(date)</f>
        <v>26</v>
      </c>
      <c r="C12" s="64"/>
      <c r="D12" s="66" t="s">
        <v>104</v>
      </c>
    </row>
    <row r="13" spans="1:4" ht="15.75">
      <c r="A13" s="64" t="s">
        <v>105</v>
      </c>
      <c r="B13" s="69">
        <f>HOUR(time)</f>
        <v>5</v>
      </c>
      <c r="C13" s="64"/>
      <c r="D13" s="66" t="s">
        <v>106</v>
      </c>
    </row>
    <row r="14" spans="1:4" ht="15.75">
      <c r="A14" s="64" t="s">
        <v>107</v>
      </c>
      <c r="B14" s="69">
        <f>MINUTE(time)</f>
        <v>34</v>
      </c>
      <c r="C14" s="64"/>
      <c r="D14" s="66" t="s">
        <v>127</v>
      </c>
    </row>
    <row r="15" spans="1:4" ht="15.75">
      <c r="A15" s="64" t="s">
        <v>108</v>
      </c>
      <c r="B15" s="69">
        <f>SECOND(time)</f>
        <v>0</v>
      </c>
      <c r="C15" s="64"/>
      <c r="D15" s="66" t="s">
        <v>109</v>
      </c>
    </row>
    <row r="16" spans="1:4" ht="15.75">
      <c r="A16" s="64" t="s">
        <v>110</v>
      </c>
      <c r="B16" s="69">
        <f>(hours+minutes/60+seconds/3600)/24</f>
        <v>0.23194444444444443</v>
      </c>
      <c r="C16" s="64"/>
      <c r="D16" s="66" t="s">
        <v>111</v>
      </c>
    </row>
    <row r="17" spans="1:4" ht="15.75">
      <c r="A17" s="64"/>
      <c r="B17" s="69"/>
      <c r="C17" s="64"/>
      <c r="D17" s="66"/>
    </row>
    <row r="18" spans="1:4" ht="15.75">
      <c r="A18" s="64" t="s">
        <v>112</v>
      </c>
      <c r="B18" s="69">
        <f>IF(month&gt;2,month+1,month+13)</f>
        <v>5</v>
      </c>
      <c r="C18" s="64"/>
      <c r="D18" s="66" t="s">
        <v>113</v>
      </c>
    </row>
    <row r="19" spans="1:4" ht="15.75">
      <c r="A19" s="64"/>
      <c r="B19" s="69">
        <f>10000*year+100*month+day+days</f>
        <v>20170426.231944446</v>
      </c>
      <c r="C19" s="64"/>
      <c r="D19" s="66" t="s">
        <v>114</v>
      </c>
    </row>
    <row r="20" spans="1:4" ht="15.75">
      <c r="A20" s="64"/>
      <c r="B20" s="69">
        <v>-63.5</v>
      </c>
      <c r="C20" s="64"/>
      <c r="D20" s="66" t="s">
        <v>115</v>
      </c>
    </row>
    <row r="21" spans="1:4" ht="15.75">
      <c r="A21" s="64"/>
      <c r="B21" s="69">
        <f>IF(month&lt;3,year+4712-1,year+4712)</f>
        <v>6729</v>
      </c>
      <c r="C21" s="64"/>
      <c r="D21" s="66" t="s">
        <v>116</v>
      </c>
    </row>
    <row r="22" spans="1:4" ht="15.75">
      <c r="A22" s="64"/>
      <c r="B22" s="69">
        <f>INT((6724+88)/100)</f>
        <v>68</v>
      </c>
      <c r="C22" s="64"/>
      <c r="D22" s="66" t="s">
        <v>117</v>
      </c>
    </row>
    <row r="23" spans="1:4" ht="15.75">
      <c r="A23" s="64"/>
      <c r="B23" s="69">
        <f>IF(kk&gt;=15821015,b0+38-a+INT(a/4),B20)</f>
        <v>-76.5</v>
      </c>
      <c r="C23" s="64"/>
      <c r="D23" s="66" t="s">
        <v>118</v>
      </c>
    </row>
    <row r="24" spans="1:4" ht="15.75">
      <c r="A24" s="64"/>
      <c r="B24" s="64"/>
      <c r="C24" s="64"/>
      <c r="D24" s="66"/>
    </row>
    <row r="25" spans="1:5" ht="15.75">
      <c r="A25" s="70" t="s">
        <v>119</v>
      </c>
      <c r="B25" s="71">
        <f>INT(365.25*yoffset)+INT(30.6001*moffset)+day+days+b+deltat/3600/24</f>
        <v>2457869.7327083335</v>
      </c>
      <c r="C25" s="64"/>
      <c r="D25" s="66" t="s">
        <v>120</v>
      </c>
      <c r="E25" s="71">
        <f>jd+(UT2-UT1)</f>
        <v>2457869.7327083335</v>
      </c>
    </row>
    <row r="26" spans="1:5" ht="15.75">
      <c r="A26" s="70" t="s">
        <v>121</v>
      </c>
      <c r="B26" s="72">
        <f>(B25-2451545)/36525</f>
        <v>0.1731617442391109</v>
      </c>
      <c r="C26" s="64"/>
      <c r="D26" s="66" t="s">
        <v>122</v>
      </c>
      <c r="E26" s="72">
        <f>(E25-2451545)/36525</f>
        <v>0.1731617442391109</v>
      </c>
    </row>
    <row r="27" spans="1:5" ht="15.75">
      <c r="A27" s="70" t="s">
        <v>123</v>
      </c>
      <c r="B27" s="75">
        <f>MOD(280.46061837+360.98564736629*(B25-2451545)+0.000387933*(B26^2)-(B26^3)/38710000+lambda1,360)/360</f>
        <v>0.5393794286297634</v>
      </c>
      <c r="C27" s="64"/>
      <c r="D27" s="66" t="s">
        <v>124</v>
      </c>
      <c r="E27" s="75">
        <f>MOD(280.46061837+360.98564736629*(E25-2451545)+0.000387933*(E26^2)-(E26^3)/38710000+lambda2,360)/360</f>
        <v>0.6316308483830653</v>
      </c>
    </row>
    <row r="28" spans="1:4" ht="15.75">
      <c r="A28" s="64"/>
      <c r="B28" s="64"/>
      <c r="C28" s="64"/>
      <c r="D28" s="64"/>
    </row>
    <row r="29" spans="1:4" ht="15.75">
      <c r="A29" s="64" t="s">
        <v>125</v>
      </c>
      <c r="B29" s="73">
        <v>66</v>
      </c>
      <c r="C29" s="64"/>
      <c r="D29" s="66" t="s">
        <v>126</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Ronald</dc:creator>
  <cp:keywords/>
  <dc:description/>
  <cp:lastModifiedBy>Juergen</cp:lastModifiedBy>
  <dcterms:created xsi:type="dcterms:W3CDTF">2017-01-23T19:21:33Z</dcterms:created>
  <dcterms:modified xsi:type="dcterms:W3CDTF">2017-04-26T17:49:10Z</dcterms:modified>
  <cp:category/>
  <cp:version/>
  <cp:contentType/>
  <cp:contentStatus/>
</cp:coreProperties>
</file>